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Сайт\ОБЪЕКТЫ\ОПЫТ\"/>
    </mc:Choice>
  </mc:AlternateContent>
  <xr:revisionPtr revIDLastSave="0" documentId="13_ncr:1_{1F62A3F4-3A97-48D8-B36F-B7CB10C044BB}" xr6:coauthVersionLast="47" xr6:coauthVersionMax="47" xr10:uidLastSave="{00000000-0000-0000-0000-000000000000}"/>
  <bookViews>
    <workbookView xWindow="-120" yWindow="-120" windowWidth="29040" windowHeight="15840" firstSheet="5" activeTab="5" xr2:uid="{00000000-000D-0000-FFFF-FFFF00000000}"/>
  </bookViews>
  <sheets>
    <sheet name="старый вар" sheetId="2" state="hidden" r:id="rId1"/>
    <sheet name="новый вар-т" sheetId="1" state="hidden" r:id="rId2"/>
    <sheet name="2011-2015" sheetId="3" state="hidden" r:id="rId3"/>
    <sheet name="2011-2018" sheetId="4" state="hidden" r:id="rId4"/>
    <sheet name="2011-2019" sheetId="5" state="hidden" r:id="rId5"/>
    <sheet name="2008-2025 по годам" sheetId="7" r:id="rId6"/>
  </sheets>
  <definedNames>
    <definedName name="_xlnm._FilterDatabase" localSheetId="5" hidden="1">'2008-2025 по годам'!$A$4:$I$705</definedName>
    <definedName name="building" localSheetId="5">'2008-2025 по годам'!#REF!</definedName>
    <definedName name="building" localSheetId="3">'2011-2018'!$K$342</definedName>
    <definedName name="building" localSheetId="4">'2011-2019'!$K$394</definedName>
    <definedName name="start" localSheetId="5">'2008-2025 по годам'!#REF!</definedName>
    <definedName name="start" localSheetId="3">'2011-2018'!$K$341</definedName>
    <definedName name="start" localSheetId="4">'2011-2019'!$K$393</definedName>
    <definedName name="_xlnm.Print_Titles" localSheetId="5">'2008-2025 по годам'!$4:$6</definedName>
    <definedName name="_xlnm.Print_Titles" localSheetId="2">'2011-2015'!$6:$8</definedName>
    <definedName name="_xlnm.Print_Titles" localSheetId="3">'2011-2018'!$6:$8</definedName>
    <definedName name="_xlnm.Print_Titles" localSheetId="4">'2011-2019'!$6:$8</definedName>
    <definedName name="_xlnm.Print_Titles" localSheetId="1">'новый вар-т'!$6:$8</definedName>
    <definedName name="_xlnm.Print_Area" localSheetId="5">'2008-2025 по годам'!$A$1:$I$575</definedName>
    <definedName name="_xlnm.Print_Area" localSheetId="2">'2011-2015'!$A$1:$I$245</definedName>
    <definedName name="_xlnm.Print_Area" localSheetId="3">'2011-2018'!$A$1:$J$539</definedName>
    <definedName name="_xlnm.Print_Area" localSheetId="4">'2011-2019'!$B$1:$J$609</definedName>
    <definedName name="_xlnm.Print_Area" localSheetId="1">'новый вар-т'!$A$1:$I$224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3" i="7" l="1"/>
  <c r="I634" i="7"/>
  <c r="I630" i="7"/>
  <c r="I629" i="7"/>
  <c r="I628" i="7"/>
  <c r="I627" i="7"/>
  <c r="I626" i="7"/>
  <c r="I625" i="7"/>
  <c r="I624" i="7"/>
  <c r="I623" i="7"/>
  <c r="I618" i="7"/>
  <c r="I613" i="7"/>
  <c r="I576" i="7" l="1"/>
  <c r="I595" i="7"/>
  <c r="H240" i="3" l="1"/>
  <c r="I566" i="5"/>
  <c r="H194" i="7"/>
  <c r="H191" i="7" l="1"/>
  <c r="H203" i="7" l="1"/>
  <c r="I203" i="7" s="1"/>
  <c r="H567" i="7"/>
  <c r="I567" i="7" s="1"/>
  <c r="H515" i="7"/>
  <c r="I515" i="7" s="1"/>
  <c r="H464" i="7"/>
  <c r="I464" i="7" s="1"/>
  <c r="H442" i="7"/>
  <c r="I442" i="7" s="1"/>
  <c r="H437" i="7"/>
  <c r="I437" i="7" s="1"/>
  <c r="H436" i="7"/>
  <c r="I436" i="7" s="1"/>
  <c r="H430" i="7"/>
  <c r="I430" i="7" s="1"/>
  <c r="H309" i="7"/>
  <c r="I309" i="7" s="1"/>
  <c r="H308" i="7"/>
  <c r="I308" i="7" s="1"/>
  <c r="H307" i="7"/>
  <c r="I307" i="7" s="1"/>
  <c r="I554" i="7"/>
  <c r="H498" i="7"/>
  <c r="I498" i="7" s="1"/>
  <c r="H457" i="7"/>
  <c r="I457" i="7" s="1"/>
  <c r="H456" i="7"/>
  <c r="I456" i="7" s="1"/>
  <c r="H435" i="7"/>
  <c r="I435" i="7" s="1"/>
  <c r="H420" i="7"/>
  <c r="I420" i="7" s="1"/>
  <c r="H324" i="7"/>
  <c r="I324" i="7" s="1"/>
  <c r="H277" i="7"/>
  <c r="I277" i="7" s="1"/>
  <c r="H267" i="7"/>
  <c r="I267" i="7" s="1"/>
  <c r="H207" i="7"/>
  <c r="I207" i="7" s="1"/>
  <c r="H508" i="7"/>
  <c r="I508" i="7" s="1"/>
  <c r="H497" i="7"/>
  <c r="I497" i="7" s="1"/>
  <c r="H496" i="7"/>
  <c r="I496" i="7" s="1"/>
  <c r="H475" i="7"/>
  <c r="I475" i="7" s="1"/>
  <c r="H455" i="7"/>
  <c r="I455" i="7" s="1"/>
  <c r="H454" i="7"/>
  <c r="I454" i="7" s="1"/>
  <c r="H474" i="7"/>
  <c r="I474" i="7" s="1"/>
  <c r="H448" i="7"/>
  <c r="I448" i="7" s="1"/>
  <c r="H505" i="7"/>
  <c r="I505" i="7" s="1"/>
  <c r="H485" i="7"/>
  <c r="I485" i="7" s="1"/>
  <c r="H529" i="7"/>
  <c r="I529" i="7" s="1"/>
  <c r="H414" i="7"/>
  <c r="I414" i="7" s="1"/>
  <c r="H382" i="7"/>
  <c r="I382" i="7" s="1"/>
  <c r="H347" i="7"/>
  <c r="I347" i="7" s="1"/>
  <c r="H343" i="7"/>
  <c r="I343" i="7" s="1"/>
  <c r="H323" i="7"/>
  <c r="I323" i="7" s="1"/>
  <c r="H286" i="7"/>
  <c r="I286" i="7" s="1"/>
  <c r="I194" i="7"/>
  <c r="H139" i="7"/>
  <c r="I139" i="7" s="1"/>
  <c r="H169" i="7"/>
  <c r="I169" i="7" s="1"/>
  <c r="H119" i="7"/>
  <c r="I119" i="7" s="1"/>
  <c r="H84" i="7"/>
  <c r="I84" i="7" s="1"/>
  <c r="H72" i="7"/>
  <c r="I72" i="7" s="1"/>
  <c r="H39" i="7"/>
  <c r="I39" i="7" s="1"/>
  <c r="H35" i="7"/>
  <c r="I35" i="7" s="1"/>
  <c r="H34" i="7"/>
  <c r="I34" i="7" s="1"/>
  <c r="H160" i="7"/>
  <c r="I160" i="7" s="1"/>
  <c r="H441" i="7"/>
  <c r="I441" i="7" s="1"/>
  <c r="H201" i="7"/>
  <c r="I201" i="7" s="1"/>
  <c r="H495" i="7"/>
  <c r="I495" i="7" s="1"/>
  <c r="H553" i="7"/>
  <c r="I553" i="7" s="1"/>
  <c r="H463" i="7"/>
  <c r="I463" i="7" s="1"/>
  <c r="H300" i="7"/>
  <c r="I300" i="7" s="1"/>
  <c r="H544" i="7"/>
  <c r="I544" i="7" s="1"/>
  <c r="H543" i="7"/>
  <c r="I543" i="7" s="1"/>
  <c r="H566" i="7"/>
  <c r="I566" i="7" s="1"/>
  <c r="H535" i="7"/>
  <c r="I535" i="7" s="1"/>
  <c r="H522" i="7"/>
  <c r="I522" i="7" s="1"/>
  <c r="H511" i="7"/>
  <c r="I511" i="7" s="1"/>
  <c r="H507" i="7"/>
  <c r="I507" i="7" s="1"/>
  <c r="H489" i="7"/>
  <c r="I489" i="7" s="1"/>
  <c r="H484" i="7"/>
  <c r="I484" i="7" s="1"/>
  <c r="H473" i="7"/>
  <c r="I473" i="7" s="1"/>
  <c r="H483" i="7"/>
  <c r="I483" i="7" s="1"/>
  <c r="H472" i="7"/>
  <c r="I472" i="7" s="1"/>
  <c r="H462" i="7"/>
  <c r="I462" i="7" s="1"/>
  <c r="H461" i="7"/>
  <c r="I461" i="7" s="1"/>
  <c r="H429" i="7"/>
  <c r="I429" i="7" s="1"/>
  <c r="H447" i="7"/>
  <c r="I447" i="7" s="1"/>
  <c r="H446" i="7"/>
  <c r="I446" i="7" s="1"/>
  <c r="H434" i="7"/>
  <c r="I434" i="7" s="1"/>
  <c r="H433" i="7"/>
  <c r="I433" i="7" s="1"/>
  <c r="H424" i="7"/>
  <c r="I424" i="7" s="1"/>
  <c r="H404" i="7"/>
  <c r="I404" i="7" s="1"/>
  <c r="H398" i="7"/>
  <c r="I398" i="7" s="1"/>
  <c r="H381" i="7"/>
  <c r="I381" i="7" s="1"/>
  <c r="H380" i="7"/>
  <c r="I380" i="7" s="1"/>
  <c r="H379" i="7"/>
  <c r="I379" i="7" s="1"/>
  <c r="H378" i="7"/>
  <c r="I378" i="7" s="1"/>
  <c r="H377" i="7"/>
  <c r="I377" i="7" s="1"/>
  <c r="H367" i="7"/>
  <c r="I367" i="7" s="1"/>
  <c r="H366" i="7"/>
  <c r="I366" i="7" s="1"/>
  <c r="H322" i="7"/>
  <c r="I322" i="7" s="1"/>
  <c r="H359" i="7"/>
  <c r="I359" i="7" s="1"/>
  <c r="H358" i="7"/>
  <c r="I358" i="7" s="1"/>
  <c r="H357" i="7"/>
  <c r="I357" i="7" s="1"/>
  <c r="H365" i="7"/>
  <c r="I365" i="7" s="1"/>
  <c r="H352" i="7"/>
  <c r="I352" i="7" s="1"/>
  <c r="H340" i="7"/>
  <c r="I340" i="7" s="1"/>
  <c r="H317" i="7"/>
  <c r="I317" i="7" s="1"/>
  <c r="H316" i="7"/>
  <c r="I316" i="7" s="1"/>
  <c r="H315" i="7"/>
  <c r="I315" i="7" s="1"/>
  <c r="H314" i="7"/>
  <c r="I314" i="7" s="1"/>
  <c r="H306" i="7"/>
  <c r="I306" i="7" s="1"/>
  <c r="H305" i="7"/>
  <c r="I305" i="7" s="1"/>
  <c r="H304" i="7"/>
  <c r="I304" i="7" s="1"/>
  <c r="H313" i="7"/>
  <c r="I313" i="7" s="1"/>
  <c r="H299" i="7"/>
  <c r="I299" i="7" s="1"/>
  <c r="H285" i="7"/>
  <c r="I285" i="7" s="1"/>
  <c r="H276" i="7"/>
  <c r="I276" i="7" s="1"/>
  <c r="H284" i="7"/>
  <c r="I284" i="7" s="1"/>
  <c r="H266" i="7"/>
  <c r="I266" i="7" s="1"/>
  <c r="H283" i="7"/>
  <c r="I283" i="7" s="1"/>
  <c r="H275" i="7"/>
  <c r="I275" i="7" s="1"/>
  <c r="H265" i="7"/>
  <c r="I265" i="7" s="1"/>
  <c r="H274" i="7"/>
  <c r="I274" i="7" s="1"/>
  <c r="H256" i="7"/>
  <c r="I256" i="7" s="1"/>
  <c r="H222" i="7"/>
  <c r="I222" i="7" s="1"/>
  <c r="H225" i="7"/>
  <c r="I225" i="7" s="1"/>
  <c r="H221" i="7"/>
  <c r="I221" i="7" s="1"/>
  <c r="H224" i="7"/>
  <c r="I224" i="7" s="1"/>
  <c r="H219" i="7"/>
  <c r="I219" i="7" s="1"/>
  <c r="H218" i="7"/>
  <c r="I218" i="7" s="1"/>
  <c r="H205" i="7"/>
  <c r="I205" i="7" s="1"/>
  <c r="H190" i="7"/>
  <c r="I190" i="7" s="1"/>
  <c r="H186" i="7"/>
  <c r="I186" i="7" s="1"/>
  <c r="H157" i="7"/>
  <c r="I157" i="7" s="1"/>
  <c r="H149" i="7"/>
  <c r="I149" i="7" s="1"/>
  <c r="H150" i="7"/>
  <c r="I150" i="7" s="1"/>
  <c r="H146" i="7"/>
  <c r="I146" i="7" s="1"/>
  <c r="H138" i="7"/>
  <c r="I138" i="7" s="1"/>
  <c r="H137" i="7"/>
  <c r="I137" i="7" s="1"/>
  <c r="H103" i="7"/>
  <c r="I103" i="7" s="1"/>
  <c r="H107" i="7"/>
  <c r="I107" i="7" s="1"/>
  <c r="H134" i="7"/>
  <c r="I134" i="7" s="1"/>
  <c r="H133" i="7"/>
  <c r="I133" i="7" s="1"/>
  <c r="H96" i="7"/>
  <c r="I96" i="7" s="1"/>
  <c r="H95" i="7"/>
  <c r="I95" i="7" s="1"/>
  <c r="H94" i="7"/>
  <c r="I94" i="7" s="1"/>
  <c r="H118" i="7"/>
  <c r="I118" i="7" s="1"/>
  <c r="H83" i="7"/>
  <c r="I83" i="7" s="1"/>
  <c r="H77" i="7"/>
  <c r="I77" i="7" s="1"/>
  <c r="H53" i="7"/>
  <c r="I53" i="7" s="1"/>
  <c r="H47" i="7"/>
  <c r="I47" i="7" s="1"/>
  <c r="H29" i="7"/>
  <c r="I29" i="7" s="1"/>
  <c r="H38" i="7"/>
  <c r="I38" i="7" s="1"/>
  <c r="H48" i="7"/>
  <c r="I48" i="7" s="1"/>
  <c r="H25" i="7"/>
  <c r="I25" i="7" s="1"/>
  <c r="H24" i="7"/>
  <c r="I24" i="7" s="1"/>
  <c r="H460" i="7"/>
  <c r="I460" i="7" s="1"/>
  <c r="H413" i="7"/>
  <c r="I413" i="7" s="1"/>
  <c r="H282" i="7"/>
  <c r="I282" i="7" s="1"/>
  <c r="H376" i="7"/>
  <c r="I376" i="7" s="1"/>
  <c r="H303" i="7"/>
  <c r="I303" i="7" s="1"/>
  <c r="H204" i="7"/>
  <c r="I204" i="7" s="1"/>
  <c r="H200" i="7"/>
  <c r="I200" i="7" s="1"/>
  <c r="H264" i="7"/>
  <c r="I264" i="7" s="1"/>
  <c r="H102" i="7"/>
  <c r="I102" i="7" s="1"/>
  <c r="H181" i="7"/>
  <c r="I181" i="7" s="1"/>
  <c r="H168" i="7"/>
  <c r="I168" i="7" s="1"/>
  <c r="H179" i="7"/>
  <c r="I179" i="7" s="1"/>
  <c r="H167" i="7"/>
  <c r="I167" i="7" s="1"/>
  <c r="H166" i="7"/>
  <c r="I166" i="7" s="1"/>
  <c r="H165" i="7"/>
  <c r="I165" i="7" s="1"/>
  <c r="H145" i="7"/>
  <c r="I145" i="7" s="1"/>
  <c r="H136" i="7"/>
  <c r="I136" i="7" s="1"/>
  <c r="H106" i="7"/>
  <c r="I106" i="7" s="1"/>
  <c r="H91" i="7"/>
  <c r="I91" i="7" s="1"/>
  <c r="H71" i="7"/>
  <c r="I71" i="7" s="1"/>
  <c r="H356" i="7"/>
  <c r="I356" i="7" s="1"/>
  <c r="H330" i="7"/>
  <c r="I330" i="7" s="1"/>
  <c r="H255" i="7"/>
  <c r="I255" i="7" s="1"/>
  <c r="H178" i="7"/>
  <c r="I178" i="7" s="1"/>
  <c r="H339" i="7"/>
  <c r="I339" i="7" s="1"/>
  <c r="H351" i="7"/>
  <c r="I351" i="7" s="1"/>
  <c r="H403" i="7"/>
  <c r="I403" i="7" s="1"/>
  <c r="H298" i="7"/>
  <c r="I298" i="7" s="1"/>
  <c r="H402" i="7"/>
  <c r="I402" i="7" s="1"/>
  <c r="H397" i="7"/>
  <c r="I397" i="7" s="1"/>
  <c r="H177" i="7"/>
  <c r="I177" i="7" s="1"/>
  <c r="H494" i="7"/>
  <c r="I494" i="7" s="1"/>
  <c r="H530" i="7"/>
  <c r="I530" i="7" s="1"/>
  <c r="H528" i="7"/>
  <c r="I528" i="7" s="1"/>
  <c r="H493" i="7"/>
  <c r="I493" i="7" s="1"/>
  <c r="H281" i="7"/>
  <c r="I281" i="7" s="1"/>
  <c r="H7" i="7"/>
  <c r="H254" i="7"/>
  <c r="I254" i="7" s="1"/>
  <c r="H253" i="7"/>
  <c r="I253" i="7" s="1"/>
  <c r="H250" i="7"/>
  <c r="H252" i="7"/>
  <c r="I252" i="7" s="1"/>
  <c r="H251" i="7"/>
  <c r="I251" i="7" s="1"/>
  <c r="H248" i="7"/>
  <c r="I248" i="7" s="1"/>
  <c r="H249" i="7"/>
  <c r="I249" i="7" s="1"/>
  <c r="H247" i="7"/>
  <c r="I247" i="7" s="1"/>
  <c r="H246" i="7"/>
  <c r="I246" i="7" s="1"/>
  <c r="H245" i="7"/>
  <c r="I245" i="7" s="1"/>
  <c r="H244" i="7"/>
  <c r="I244" i="7" s="1"/>
  <c r="H243" i="7"/>
  <c r="I243" i="7" s="1"/>
  <c r="H242" i="7"/>
  <c r="I242" i="7" s="1"/>
  <c r="H241" i="7"/>
  <c r="I241" i="7" s="1"/>
  <c r="H240" i="7"/>
  <c r="I240" i="7" s="1"/>
  <c r="H239" i="7"/>
  <c r="I239" i="7" s="1"/>
  <c r="H238" i="7"/>
  <c r="I238" i="7" s="1"/>
  <c r="H237" i="7"/>
  <c r="I237" i="7" s="1"/>
  <c r="H236" i="7"/>
  <c r="I236" i="7" s="1"/>
  <c r="H234" i="7"/>
  <c r="I234" i="7" s="1"/>
  <c r="H233" i="7"/>
  <c r="I233" i="7" s="1"/>
  <c r="H235" i="7"/>
  <c r="I235" i="7" s="1"/>
  <c r="H419" i="7"/>
  <c r="I419" i="7" s="1"/>
  <c r="H401" i="7"/>
  <c r="I401" i="7" s="1"/>
  <c r="H329" i="7"/>
  <c r="I329" i="7" s="1"/>
  <c r="H346" i="7"/>
  <c r="I346" i="7" s="1"/>
  <c r="H350" i="7"/>
  <c r="I350" i="7" s="1"/>
  <c r="H428" i="7"/>
  <c r="I428" i="7" s="1"/>
  <c r="H550" i="7"/>
  <c r="I550" i="7" s="1"/>
  <c r="H445" i="7"/>
  <c r="I445" i="7" s="1"/>
  <c r="H412" i="7"/>
  <c r="I412" i="7" s="1"/>
  <c r="H411" i="7"/>
  <c r="I411" i="7" s="1"/>
  <c r="H542" i="7"/>
  <c r="I542" i="7" s="1"/>
  <c r="H482" i="7"/>
  <c r="I482" i="7" s="1"/>
  <c r="H364" i="7"/>
  <c r="I364" i="7" s="1"/>
  <c r="H297" i="7"/>
  <c r="I297" i="7" s="1"/>
  <c r="H296" i="7"/>
  <c r="I296" i="7" s="1"/>
  <c r="H295" i="7"/>
  <c r="I295" i="7" s="1"/>
  <c r="H294" i="7"/>
  <c r="I294" i="7" s="1"/>
  <c r="H293" i="7"/>
  <c r="I293" i="7" s="1"/>
  <c r="H263" i="7"/>
  <c r="I263" i="7" s="1"/>
  <c r="H471" i="7"/>
  <c r="I471" i="7" s="1"/>
  <c r="H470" i="7"/>
  <c r="I470" i="7" s="1"/>
  <c r="H459" i="7"/>
  <c r="I459" i="7" s="1"/>
  <c r="H453" i="7"/>
  <c r="I453" i="7" s="1"/>
  <c r="H321" i="7"/>
  <c r="I321" i="7" s="1"/>
  <c r="H292" i="7"/>
  <c r="I292" i="7" s="1"/>
  <c r="H541" i="7"/>
  <c r="I541" i="7" s="1"/>
  <c r="H559" i="7"/>
  <c r="I559" i="7" s="1"/>
  <c r="H521" i="7"/>
  <c r="I521" i="7" s="1"/>
  <c r="H302" i="7"/>
  <c r="I302" i="7" s="1"/>
  <c r="H469" i="7"/>
  <c r="I469" i="7" s="1"/>
  <c r="H410" i="7"/>
  <c r="I410" i="7" s="1"/>
  <c r="H565" i="7"/>
  <c r="I565" i="7" s="1"/>
  <c r="H527" i="7"/>
  <c r="I527" i="7" s="1"/>
  <c r="H514" i="7"/>
  <c r="I514" i="7" s="1"/>
  <c r="H396" i="7"/>
  <c r="I396" i="7" s="1"/>
  <c r="H409" i="7"/>
  <c r="I409" i="7" s="1"/>
  <c r="H395" i="7"/>
  <c r="I395" i="7" s="1"/>
  <c r="H363" i="7"/>
  <c r="I363" i="7" s="1"/>
  <c r="H468" i="7"/>
  <c r="I468" i="7" s="1"/>
  <c r="H273" i="7"/>
  <c r="I273" i="7" s="1"/>
  <c r="H534" i="7"/>
  <c r="I534" i="7" s="1"/>
  <c r="H506" i="7"/>
  <c r="I506" i="7" s="1"/>
  <c r="H548" i="7"/>
  <c r="I548" i="7" s="1"/>
  <c r="H488" i="7"/>
  <c r="I488" i="7" s="1"/>
  <c r="H560" i="7"/>
  <c r="I560" i="7" s="1"/>
  <c r="H564" i="7"/>
  <c r="I564" i="7" s="1"/>
  <c r="H547" i="7"/>
  <c r="I547" i="7" s="1"/>
  <c r="H558" i="7"/>
  <c r="I558" i="7" s="1"/>
  <c r="H481" i="7"/>
  <c r="I481" i="7" s="1"/>
  <c r="H432" i="7"/>
  <c r="I432" i="7" s="1"/>
  <c r="H423" i="7"/>
  <c r="I423" i="7" s="1"/>
  <c r="H533" i="7"/>
  <c r="I533" i="7" s="1"/>
  <c r="H504" i="7"/>
  <c r="I504" i="7" s="1"/>
  <c r="H449" i="7"/>
  <c r="I449" i="7" s="1"/>
  <c r="H375" i="7"/>
  <c r="I375" i="7" s="1"/>
  <c r="H349" i="7"/>
  <c r="I349" i="7" s="1"/>
  <c r="H408" i="7"/>
  <c r="I408" i="7" s="1"/>
  <c r="H394" i="7"/>
  <c r="I394" i="7" s="1"/>
  <c r="H526" i="7"/>
  <c r="I526" i="7" s="1"/>
  <c r="H425" i="7"/>
  <c r="I425" i="7" s="1"/>
  <c r="H393" i="7"/>
  <c r="I393" i="7" s="1"/>
  <c r="H374" i="7"/>
  <c r="I374" i="7" s="1"/>
  <c r="H320" i="7"/>
  <c r="I320" i="7" s="1"/>
  <c r="H272" i="7"/>
  <c r="I272" i="7" s="1"/>
  <c r="H480" i="7"/>
  <c r="I480" i="7" s="1"/>
  <c r="H355" i="7"/>
  <c r="I355" i="7" s="1"/>
  <c r="H407" i="7"/>
  <c r="I407" i="7" s="1"/>
  <c r="H354" i="7"/>
  <c r="I354" i="7" s="1"/>
  <c r="H220" i="7"/>
  <c r="I220" i="7" s="1"/>
  <c r="H185" i="7"/>
  <c r="I185" i="7" s="1"/>
  <c r="H156" i="7"/>
  <c r="I156" i="7" s="1"/>
  <c r="H135" i="7"/>
  <c r="I135" i="7" s="1"/>
  <c r="H123" i="7"/>
  <c r="I123" i="7" s="1"/>
  <c r="H131" i="7"/>
  <c r="I131" i="7" s="1"/>
  <c r="H546" i="7"/>
  <c r="I546" i="7" s="1"/>
  <c r="H215" i="7"/>
  <c r="I215" i="7" s="1"/>
  <c r="H217" i="7"/>
  <c r="I217" i="7" s="1"/>
  <c r="H86" i="7"/>
  <c r="I86" i="7" s="1"/>
  <c r="H93" i="7"/>
  <c r="I93" i="7" s="1"/>
  <c r="H444" i="7"/>
  <c r="I444" i="7" s="1"/>
  <c r="H510" i="7"/>
  <c r="I510" i="7" s="1"/>
  <c r="H338" i="7"/>
  <c r="I338" i="7" s="1"/>
  <c r="H328" i="7"/>
  <c r="I328" i="7" s="1"/>
  <c r="H520" i="7"/>
  <c r="I520" i="7" s="1"/>
  <c r="H452" i="7"/>
  <c r="I452" i="7" s="1"/>
  <c r="H540" i="7"/>
  <c r="I540" i="7" s="1"/>
  <c r="H539" i="7"/>
  <c r="I539" i="7" s="1"/>
  <c r="H525" i="7"/>
  <c r="I525" i="7" s="1"/>
  <c r="I499" i="7"/>
  <c r="H499" i="7"/>
  <c r="H503" i="7"/>
  <c r="I503" i="7" s="1"/>
  <c r="H492" i="7"/>
  <c r="I492" i="7" s="1"/>
  <c r="H451" i="7"/>
  <c r="I451" i="7" s="1"/>
  <c r="H400" i="7"/>
  <c r="I400" i="7" s="1"/>
  <c r="H189" i="7"/>
  <c r="I189" i="7" s="1"/>
  <c r="H105" i="7"/>
  <c r="I105" i="7" s="1"/>
  <c r="H20" i="7"/>
  <c r="I20" i="7" s="1"/>
  <c r="H117" i="7"/>
  <c r="I117" i="7" s="1"/>
  <c r="H10" i="7"/>
  <c r="I10" i="7" s="1"/>
  <c r="H418" i="7"/>
  <c r="I418" i="7" s="1"/>
  <c r="H417" i="7"/>
  <c r="I417" i="7" s="1"/>
  <c r="H301" i="7"/>
  <c r="I301" i="7" s="1"/>
  <c r="H557" i="7"/>
  <c r="I557" i="7" s="1"/>
  <c r="H392" i="7"/>
  <c r="I392" i="7" s="1"/>
  <c r="H523" i="7"/>
  <c r="I523" i="7" s="1"/>
  <c r="H519" i="7"/>
  <c r="I519" i="7" s="1"/>
  <c r="H518" i="7"/>
  <c r="I518" i="7" s="1"/>
  <c r="H517" i="7"/>
  <c r="I517" i="7" s="1"/>
  <c r="H399" i="7"/>
  <c r="I399" i="7" s="1"/>
  <c r="H262" i="7"/>
  <c r="I262" i="7" s="1"/>
  <c r="H81" i="7"/>
  <c r="I81" i="7" s="1"/>
  <c r="H33" i="7"/>
  <c r="I33" i="7" s="1"/>
  <c r="H46" i="7"/>
  <c r="I46" i="7" s="1"/>
  <c r="H16" i="7"/>
  <c r="I16" i="7" s="1"/>
  <c r="H12" i="7"/>
  <c r="I12" i="7" s="1"/>
  <c r="H176" i="7"/>
  <c r="I176" i="7" s="1"/>
  <c r="H130" i="7"/>
  <c r="I130" i="7" s="1"/>
  <c r="H532" i="7"/>
  <c r="I532" i="7" s="1"/>
  <c r="H509" i="7"/>
  <c r="I509" i="7" s="1"/>
  <c r="H345" i="7"/>
  <c r="I345" i="7" s="1"/>
  <c r="H126" i="7"/>
  <c r="I126" i="7" s="1"/>
  <c r="H443" i="7"/>
  <c r="I443" i="7" s="1"/>
  <c r="H125" i="7"/>
  <c r="I125" i="7" s="1"/>
  <c r="H129" i="7"/>
  <c r="I129" i="7" s="1"/>
  <c r="H431" i="7"/>
  <c r="I431" i="7" s="1"/>
  <c r="H467" i="7"/>
  <c r="I467" i="7" s="1"/>
  <c r="H319" i="7"/>
  <c r="I319" i="7" s="1"/>
  <c r="H512" i="7"/>
  <c r="I512" i="7" s="1"/>
  <c r="H362" i="7"/>
  <c r="I362" i="7" s="1"/>
  <c r="H406" i="7"/>
  <c r="I406" i="7" s="1"/>
  <c r="H391" i="7"/>
  <c r="I391" i="7" s="1"/>
  <c r="H390" i="7"/>
  <c r="I390" i="7" s="1"/>
  <c r="H531" i="7"/>
  <c r="I531" i="7" s="1"/>
  <c r="H361" i="7"/>
  <c r="I361" i="7" s="1"/>
  <c r="H487" i="7"/>
  <c r="I487" i="7" s="1"/>
  <c r="H360" i="7"/>
  <c r="I360" i="7" s="1"/>
  <c r="H92" i="7"/>
  <c r="I92" i="7" s="1"/>
  <c r="H291" i="7"/>
  <c r="I291" i="7" s="1"/>
  <c r="H231" i="7"/>
  <c r="I231" i="7" s="1"/>
  <c r="H70" i="7"/>
  <c r="I70" i="7" s="1"/>
  <c r="H58" i="7"/>
  <c r="I58" i="7" s="1"/>
  <c r="H57" i="7"/>
  <c r="I57" i="7" s="1"/>
  <c r="H37" i="7"/>
  <c r="I37" i="7" s="1"/>
  <c r="H28" i="7"/>
  <c r="I28" i="7" s="1"/>
  <c r="H290" i="7"/>
  <c r="I290" i="7" s="1"/>
  <c r="H32" i="7"/>
  <c r="I32" i="7" s="1"/>
  <c r="H11" i="7"/>
  <c r="I11" i="7" s="1"/>
  <c r="H556" i="7"/>
  <c r="I556" i="7" s="1"/>
  <c r="H555" i="7"/>
  <c r="I555" i="7" s="1"/>
  <c r="H538" i="7"/>
  <c r="I538" i="7" s="1"/>
  <c r="H537" i="7"/>
  <c r="I537" i="7" s="1"/>
  <c r="H536" i="7"/>
  <c r="I536" i="7" s="1"/>
  <c r="H513" i="7"/>
  <c r="I513" i="7" s="1"/>
  <c r="H327" i="7"/>
  <c r="I327" i="7" s="1"/>
  <c r="H199" i="7"/>
  <c r="I199" i="7" s="1"/>
  <c r="H479" i="7"/>
  <c r="I479" i="7" s="1"/>
  <c r="H478" i="7"/>
  <c r="I478" i="7" s="1"/>
  <c r="H466" i="7"/>
  <c r="I466" i="7" s="1"/>
  <c r="H389" i="7"/>
  <c r="I389" i="7" s="1"/>
  <c r="H502" i="7"/>
  <c r="I502" i="7" s="1"/>
  <c r="H337" i="7"/>
  <c r="I337" i="7" s="1"/>
  <c r="H326" i="7"/>
  <c r="I326" i="7" s="1"/>
  <c r="H450" i="7"/>
  <c r="I450" i="7" s="1"/>
  <c r="H477" i="7"/>
  <c r="I477" i="7" s="1"/>
  <c r="H416" i="7"/>
  <c r="I416" i="7" s="1"/>
  <c r="H415" i="7"/>
  <c r="I415" i="7" s="1"/>
  <c r="H289" i="7"/>
  <c r="I289" i="7" s="1"/>
  <c r="H440" i="7"/>
  <c r="I440" i="7" s="1"/>
  <c r="H318" i="7"/>
  <c r="I318" i="7" s="1"/>
  <c r="H439" i="7"/>
  <c r="I439" i="7" s="1"/>
  <c r="H336" i="7"/>
  <c r="I336" i="7" s="1"/>
  <c r="H223" i="7"/>
  <c r="I223" i="7" s="1"/>
  <c r="H545" i="7"/>
  <c r="I545" i="7" s="1"/>
  <c r="H405" i="7"/>
  <c r="I405" i="7" s="1"/>
  <c r="H214" i="7"/>
  <c r="I214" i="7" s="1"/>
  <c r="H563" i="7"/>
  <c r="I563" i="7" s="1"/>
  <c r="H552" i="7"/>
  <c r="I552" i="7" s="1"/>
  <c r="H491" i="7"/>
  <c r="I491" i="7" s="1"/>
  <c r="H198" i="7"/>
  <c r="I198" i="7" s="1"/>
  <c r="H155" i="7"/>
  <c r="I155" i="7" s="1"/>
  <c r="H141" i="7"/>
  <c r="I141" i="7" s="1"/>
  <c r="H128" i="7"/>
  <c r="I128" i="7" s="1"/>
  <c r="H490" i="7"/>
  <c r="I490" i="7" s="1"/>
  <c r="H562" i="7"/>
  <c r="I562" i="7" s="1"/>
  <c r="H551" i="7"/>
  <c r="I551" i="7" s="1"/>
  <c r="H373" i="7"/>
  <c r="I373" i="7" s="1"/>
  <c r="H104" i="7"/>
  <c r="I104" i="7" s="1"/>
  <c r="H516" i="7"/>
  <c r="I516" i="7" s="1"/>
  <c r="H101" i="7"/>
  <c r="I101" i="7" s="1"/>
  <c r="H80" i="7"/>
  <c r="I80" i="7" s="1"/>
  <c r="H69" i="7"/>
  <c r="I69" i="7" s="1"/>
  <c r="H76" i="7"/>
  <c r="I76" i="7" s="1"/>
  <c r="H67" i="7"/>
  <c r="I67" i="7" s="1"/>
  <c r="H388" i="7"/>
  <c r="I388" i="7" s="1"/>
  <c r="H116" i="7"/>
  <c r="I116" i="7" s="1"/>
  <c r="H63" i="7"/>
  <c r="I63" i="7" s="1"/>
  <c r="H62" i="7"/>
  <c r="I62" i="7" s="1"/>
  <c r="H23" i="7"/>
  <c r="I23" i="7" s="1"/>
  <c r="H122" i="7"/>
  <c r="I122" i="7" s="1"/>
  <c r="H75" i="7"/>
  <c r="I75" i="7" s="1"/>
  <c r="H36" i="7"/>
  <c r="I36" i="7" s="1"/>
  <c r="H22" i="7"/>
  <c r="I22" i="7" s="1"/>
  <c r="H27" i="7"/>
  <c r="I27" i="7" s="1"/>
  <c r="H188" i="7"/>
  <c r="I188" i="7" s="1"/>
  <c r="H372" i="7"/>
  <c r="I372" i="7" s="1"/>
  <c r="H121" i="7"/>
  <c r="I121" i="7" s="1"/>
  <c r="H115" i="7"/>
  <c r="I115" i="7" s="1"/>
  <c r="H114" i="7"/>
  <c r="I114" i="7" s="1"/>
  <c r="H113" i="7"/>
  <c r="I113" i="7" s="1"/>
  <c r="H112" i="7"/>
  <c r="I112" i="7" s="1"/>
  <c r="H154" i="7"/>
  <c r="I154" i="7" s="1"/>
  <c r="H100" i="7"/>
  <c r="I100" i="7" s="1"/>
  <c r="H561" i="7"/>
  <c r="I561" i="7" s="1"/>
  <c r="H501" i="7"/>
  <c r="I501" i="7" s="1"/>
  <c r="H486" i="7"/>
  <c r="I486" i="7" s="1"/>
  <c r="H371" i="7"/>
  <c r="I371" i="7" s="1"/>
  <c r="H370" i="7"/>
  <c r="I370" i="7" s="1"/>
  <c r="H280" i="7"/>
  <c r="I280" i="7" s="1"/>
  <c r="H271" i="7"/>
  <c r="I271" i="7" s="1"/>
  <c r="H61" i="7"/>
  <c r="I61" i="7" s="1"/>
  <c r="H60" i="7"/>
  <c r="I60" i="7" s="1"/>
  <c r="H213" i="7"/>
  <c r="I213" i="7" s="1"/>
  <c r="H184" i="7"/>
  <c r="I184" i="7" s="1"/>
  <c r="H183" i="7"/>
  <c r="I183" i="7" s="1"/>
  <c r="H182" i="7"/>
  <c r="I182" i="7" s="1"/>
  <c r="H173" i="7"/>
  <c r="I173" i="7" s="1"/>
  <c r="H387" i="7"/>
  <c r="I387" i="7" s="1"/>
  <c r="H386" i="7"/>
  <c r="I386" i="7" s="1"/>
  <c r="H270" i="7"/>
  <c r="I270" i="7" s="1"/>
  <c r="H348" i="7"/>
  <c r="I348" i="7" s="1"/>
  <c r="H335" i="7"/>
  <c r="I335" i="7" s="1"/>
  <c r="H334" i="7"/>
  <c r="I334" i="7" s="1"/>
  <c r="H333" i="7"/>
  <c r="I333" i="7" s="1"/>
  <c r="H325" i="7"/>
  <c r="I325" i="7" s="1"/>
  <c r="H288" i="7"/>
  <c r="I288" i="7" s="1"/>
  <c r="H279" i="7"/>
  <c r="I279" i="7" s="1"/>
  <c r="H261" i="7"/>
  <c r="I261" i="7" s="1"/>
  <c r="H230" i="7"/>
  <c r="I230" i="7" s="1"/>
  <c r="H229" i="7"/>
  <c r="I229" i="7" s="1"/>
  <c r="H216" i="7"/>
  <c r="I216" i="7" s="1"/>
  <c r="H212" i="7"/>
  <c r="I212" i="7" s="1"/>
  <c r="H164" i="7"/>
  <c r="I164" i="7" s="1"/>
  <c r="H163" i="7"/>
  <c r="I163" i="7" s="1"/>
  <c r="H162" i="7"/>
  <c r="I162" i="7" s="1"/>
  <c r="H153" i="7"/>
  <c r="I153" i="7" s="1"/>
  <c r="H140" i="7"/>
  <c r="I140" i="7" s="1"/>
  <c r="H111" i="7"/>
  <c r="I111" i="7" s="1"/>
  <c r="H99" i="7"/>
  <c r="I99" i="7" s="1"/>
  <c r="H90" i="7"/>
  <c r="I90" i="7" s="1"/>
  <c r="H89" i="7"/>
  <c r="I89" i="7" s="1"/>
  <c r="H59" i="7"/>
  <c r="I59" i="7" s="1"/>
  <c r="H52" i="7"/>
  <c r="I52" i="7" s="1"/>
  <c r="H56" i="7"/>
  <c r="I56" i="7" s="1"/>
  <c r="H31" i="7"/>
  <c r="I31" i="7" s="1"/>
  <c r="H30" i="7"/>
  <c r="I30" i="7" s="1"/>
  <c r="H21" i="7"/>
  <c r="I21" i="7" s="1"/>
  <c r="H19" i="7"/>
  <c r="I19" i="7" s="1"/>
  <c r="H14" i="7"/>
  <c r="I14" i="7" s="1"/>
  <c r="H476" i="7"/>
  <c r="I476" i="7" s="1"/>
  <c r="H422" i="7"/>
  <c r="I422" i="7" s="1"/>
  <c r="H421" i="7"/>
  <c r="I421" i="7" s="1"/>
  <c r="H458" i="7"/>
  <c r="I458" i="7" s="1"/>
  <c r="H369" i="7"/>
  <c r="I369" i="7" s="1"/>
  <c r="H368" i="7"/>
  <c r="I368" i="7" s="1"/>
  <c r="H312" i="7"/>
  <c r="I312" i="7" s="1"/>
  <c r="H180" i="7"/>
  <c r="I180" i="7" s="1"/>
  <c r="H132" i="7"/>
  <c r="I132" i="7" s="1"/>
  <c r="H55" i="7"/>
  <c r="I55" i="7" s="1"/>
  <c r="H45" i="7"/>
  <c r="I45" i="7" s="1"/>
  <c r="H43" i="7"/>
  <c r="I43" i="7" s="1"/>
  <c r="H50" i="7"/>
  <c r="I50" i="7" s="1"/>
  <c r="H44" i="7"/>
  <c r="I44" i="7" s="1"/>
  <c r="H500" i="7"/>
  <c r="I500" i="7" s="1"/>
  <c r="H524" i="7"/>
  <c r="I524" i="7" s="1"/>
  <c r="H385" i="7"/>
  <c r="I385" i="7" s="1"/>
  <c r="H342" i="7"/>
  <c r="I342" i="7" s="1"/>
  <c r="H258" i="7"/>
  <c r="I258" i="7" s="1"/>
  <c r="H228" i="7"/>
  <c r="I228" i="7" s="1"/>
  <c r="H209" i="7"/>
  <c r="I209" i="7" s="1"/>
  <c r="H193" i="7"/>
  <c r="I193" i="7" s="1"/>
  <c r="H120" i="7"/>
  <c r="I120" i="7" s="1"/>
  <c r="H384" i="7"/>
  <c r="I384" i="7" s="1"/>
  <c r="H278" i="7"/>
  <c r="I278" i="7" s="1"/>
  <c r="H260" i="7"/>
  <c r="I260" i="7" s="1"/>
  <c r="H269" i="7"/>
  <c r="I269" i="7" s="1"/>
  <c r="H197" i="7"/>
  <c r="I197" i="7" s="1"/>
  <c r="H192" i="7"/>
  <c r="I192" i="7" s="1"/>
  <c r="H42" i="7"/>
  <c r="I42" i="7" s="1"/>
  <c r="H13" i="7"/>
  <c r="I13" i="7" s="1"/>
  <c r="H9" i="7"/>
  <c r="I9" i="7" s="1"/>
  <c r="H8" i="7"/>
  <c r="I8" i="7" s="1"/>
  <c r="H18" i="7"/>
  <c r="I18" i="7" s="1"/>
  <c r="H257" i="7"/>
  <c r="I257" i="7" s="1"/>
  <c r="H268" i="7"/>
  <c r="I268" i="7" s="1"/>
  <c r="H144" i="7"/>
  <c r="I144" i="7" s="1"/>
  <c r="H97" i="7"/>
  <c r="I97" i="7" s="1"/>
  <c r="H74" i="7"/>
  <c r="I74" i="7" s="1"/>
  <c r="H41" i="7"/>
  <c r="I41" i="7" s="1"/>
  <c r="H196" i="7"/>
  <c r="I196" i="7" s="1"/>
  <c r="H143" i="7"/>
  <c r="I143" i="7" s="1"/>
  <c r="H465" i="7"/>
  <c r="I465" i="7" s="1"/>
  <c r="H438" i="7"/>
  <c r="I438" i="7" s="1"/>
  <c r="H383" i="7"/>
  <c r="I383" i="7" s="1"/>
  <c r="H353" i="7"/>
  <c r="I353" i="7" s="1"/>
  <c r="H311" i="7"/>
  <c r="I311" i="7" s="1"/>
  <c r="H206" i="7"/>
  <c r="I206" i="7" s="1"/>
  <c r="H175" i="7"/>
  <c r="I175" i="7" s="1"/>
  <c r="H172" i="7"/>
  <c r="I172" i="7" s="1"/>
  <c r="H152" i="7"/>
  <c r="I152" i="7" s="1"/>
  <c r="H161" i="7"/>
  <c r="I161" i="7" s="1"/>
  <c r="H159" i="7"/>
  <c r="I159" i="7" s="1"/>
  <c r="H148" i="7"/>
  <c r="I148" i="7" s="1"/>
  <c r="H127" i="7"/>
  <c r="I127" i="7" s="1"/>
  <c r="H110" i="7"/>
  <c r="I110" i="7" s="1"/>
  <c r="H109" i="7"/>
  <c r="I109" i="7" s="1"/>
  <c r="H98" i="7"/>
  <c r="I98" i="7" s="1"/>
  <c r="H88" i="7"/>
  <c r="I88" i="7" s="1"/>
  <c r="H68" i="7"/>
  <c r="I68" i="7" s="1"/>
  <c r="H79" i="7"/>
  <c r="I79" i="7" s="1"/>
  <c r="H66" i="7"/>
  <c r="I66" i="7" s="1"/>
  <c r="H65" i="7"/>
  <c r="I65" i="7" s="1"/>
  <c r="H26" i="7"/>
  <c r="I26" i="7" s="1"/>
  <c r="H40" i="7"/>
  <c r="I40" i="7" s="1"/>
  <c r="H15" i="7"/>
  <c r="I15" i="7" s="1"/>
  <c r="H344" i="7"/>
  <c r="I344" i="7" s="1"/>
  <c r="H310" i="7"/>
  <c r="I310" i="7" s="1"/>
  <c r="H227" i="7"/>
  <c r="I227" i="7" s="1"/>
  <c r="H78" i="7"/>
  <c r="I78" i="7" s="1"/>
  <c r="H341" i="7"/>
  <c r="I341" i="7" s="1"/>
  <c r="H332" i="7"/>
  <c r="I332" i="7" s="1"/>
  <c r="H259" i="7"/>
  <c r="I259" i="7" s="1"/>
  <c r="H211" i="7"/>
  <c r="I211" i="7" s="1"/>
  <c r="H202" i="7"/>
  <c r="I202" i="7" s="1"/>
  <c r="H195" i="7"/>
  <c r="I195" i="7" s="1"/>
  <c r="H187" i="7"/>
  <c r="I187" i="7" s="1"/>
  <c r="H174" i="7"/>
  <c r="I174" i="7" s="1"/>
  <c r="H171" i="7"/>
  <c r="I171" i="7" s="1"/>
  <c r="H158" i="7"/>
  <c r="I158" i="7" s="1"/>
  <c r="H151" i="7"/>
  <c r="I151" i="7" s="1"/>
  <c r="H142" i="7"/>
  <c r="I142" i="7" s="1"/>
  <c r="H124" i="7"/>
  <c r="I124" i="7" s="1"/>
  <c r="H73" i="7"/>
  <c r="I73" i="7" s="1"/>
  <c r="H331" i="7"/>
  <c r="I331" i="7" s="1"/>
  <c r="H226" i="7"/>
  <c r="I226" i="7" s="1"/>
  <c r="H287" i="7"/>
  <c r="I287" i="7" s="1"/>
  <c r="H210" i="7"/>
  <c r="I210" i="7" s="1"/>
  <c r="H208" i="7"/>
  <c r="I208" i="7" s="1"/>
  <c r="I191" i="7"/>
  <c r="H170" i="7"/>
  <c r="I170" i="7" s="1"/>
  <c r="H147" i="7"/>
  <c r="I147" i="7" s="1"/>
  <c r="H108" i="7"/>
  <c r="I108" i="7" s="1"/>
  <c r="H87" i="7"/>
  <c r="I87" i="7" s="1"/>
  <c r="H85" i="7"/>
  <c r="I85" i="7" s="1"/>
  <c r="H64" i="7"/>
  <c r="I64" i="7" s="1"/>
  <c r="H54" i="7"/>
  <c r="I54" i="7" s="1"/>
  <c r="H49" i="7"/>
  <c r="I49" i="7" s="1"/>
  <c r="H17" i="7"/>
  <c r="I17" i="7" s="1"/>
  <c r="I409" i="5" l="1"/>
  <c r="J409" i="5" s="1"/>
  <c r="I408" i="5"/>
  <c r="J408" i="5" s="1"/>
  <c r="I407" i="5"/>
  <c r="I406" i="5"/>
  <c r="J406" i="5" s="1"/>
  <c r="I405" i="5"/>
  <c r="J405" i="5" s="1"/>
  <c r="I402" i="5"/>
  <c r="J402" i="5" s="1"/>
  <c r="I397" i="5"/>
  <c r="J397" i="5" s="1"/>
  <c r="I396" i="5"/>
  <c r="J396" i="5" s="1"/>
  <c r="I411" i="5"/>
  <c r="J411" i="5" s="1"/>
  <c r="I410" i="5"/>
  <c r="J410" i="5" s="1"/>
  <c r="I341" i="5"/>
  <c r="J341" i="5" s="1"/>
  <c r="J593" i="5"/>
  <c r="I365" i="5"/>
  <c r="J365" i="5" s="1"/>
  <c r="I328" i="5"/>
  <c r="J328" i="5" s="1"/>
  <c r="I573" i="5" l="1"/>
  <c r="J573" i="5" s="1"/>
  <c r="I570" i="5"/>
  <c r="I603" i="5"/>
  <c r="J603" i="5" s="1"/>
  <c r="I602" i="5"/>
  <c r="J602" i="5" s="1"/>
  <c r="I267" i="5"/>
  <c r="I266" i="5"/>
  <c r="J266" i="5" s="1"/>
  <c r="J267" i="5"/>
  <c r="I364" i="5" l="1"/>
  <c r="J364" i="5" s="1"/>
  <c r="I363" i="5"/>
  <c r="J363" i="5" s="1"/>
  <c r="I334" i="5"/>
  <c r="J334" i="5" s="1"/>
  <c r="I335" i="5"/>
  <c r="J335" i="5" s="1"/>
  <c r="I386" i="5"/>
  <c r="J386" i="5" s="1"/>
  <c r="I416" i="5"/>
  <c r="J416" i="5" s="1"/>
  <c r="I385" i="5"/>
  <c r="J385" i="5" s="1"/>
  <c r="I359" i="5"/>
  <c r="J359" i="5" s="1"/>
  <c r="I358" i="5"/>
  <c r="J358" i="5" s="1"/>
  <c r="I357" i="5"/>
  <c r="J357" i="5" s="1"/>
  <c r="I356" i="5" l="1"/>
  <c r="J356" i="5" s="1"/>
  <c r="I540" i="5"/>
  <c r="J540" i="5" s="1"/>
  <c r="I542" i="5"/>
  <c r="J542" i="5" s="1"/>
  <c r="I541" i="5"/>
  <c r="J541" i="5" s="1"/>
  <c r="I539" i="5"/>
  <c r="J539" i="5" s="1"/>
  <c r="I538" i="5"/>
  <c r="J538" i="5" s="1"/>
  <c r="I537" i="5"/>
  <c r="J537" i="5" s="1"/>
  <c r="I546" i="5" l="1"/>
  <c r="J546" i="5" s="1"/>
  <c r="I545" i="5"/>
  <c r="J545" i="5" s="1"/>
  <c r="I366" i="5" l="1"/>
  <c r="J366" i="5" s="1"/>
  <c r="I362" i="5"/>
  <c r="I421" i="5" l="1"/>
  <c r="J421" i="5" s="1"/>
  <c r="I420" i="5"/>
  <c r="J420" i="5" s="1"/>
  <c r="I419" i="5"/>
  <c r="I348" i="5"/>
  <c r="J348" i="5" s="1"/>
  <c r="I350" i="5"/>
  <c r="J350" i="5" s="1"/>
  <c r="I347" i="5" l="1"/>
  <c r="J347" i="5" s="1"/>
  <c r="I344" i="5"/>
  <c r="J344" i="5"/>
  <c r="I342" i="5" l="1"/>
  <c r="I339" i="5" l="1"/>
  <c r="J339" i="5" s="1"/>
  <c r="I340" i="5"/>
  <c r="J340" i="5" s="1"/>
  <c r="I454" i="5" l="1"/>
  <c r="J454" i="5" s="1"/>
  <c r="I453" i="5"/>
  <c r="J453" i="5" s="1"/>
  <c r="I452" i="5" l="1"/>
  <c r="I97" i="5"/>
  <c r="J97" i="5" s="1"/>
  <c r="I96" i="5" l="1"/>
  <c r="J96" i="5" s="1"/>
  <c r="I83" i="5" l="1"/>
  <c r="J83" i="5" s="1"/>
  <c r="I311" i="5"/>
  <c r="J311" i="5" s="1"/>
  <c r="I304" i="5" l="1"/>
  <c r="J304" i="5" s="1"/>
  <c r="I286" i="5"/>
  <c r="I299" i="5"/>
  <c r="J299" i="5" s="1"/>
  <c r="I298" i="5"/>
  <c r="J298" i="5" s="1"/>
  <c r="I297" i="5"/>
  <c r="J297" i="5" s="1"/>
  <c r="I301" i="5"/>
  <c r="J301" i="5" s="1"/>
  <c r="I295" i="5"/>
  <c r="J295" i="5" s="1"/>
  <c r="I283" i="5"/>
  <c r="J283" i="5" s="1"/>
  <c r="I252" i="5"/>
  <c r="J252" i="5" s="1"/>
  <c r="I251" i="5"/>
  <c r="I281" i="5"/>
  <c r="J281" i="5" s="1"/>
  <c r="I280" i="5"/>
  <c r="J280" i="5" s="1"/>
  <c r="I279" i="5"/>
  <c r="J279" i="5" s="1"/>
  <c r="I278" i="5"/>
  <c r="J278" i="5" s="1"/>
  <c r="I257" i="5"/>
  <c r="J257" i="5" s="1"/>
  <c r="I250" i="5"/>
  <c r="J250" i="5" s="1"/>
  <c r="I232" i="5"/>
  <c r="J232" i="5" s="1"/>
  <c r="I231" i="5"/>
  <c r="J231" i="5" s="1"/>
  <c r="I230" i="5"/>
  <c r="J230" i="5" s="1"/>
  <c r="I229" i="5"/>
  <c r="J229" i="5" s="1"/>
  <c r="I228" i="5"/>
  <c r="J228" i="5" s="1"/>
  <c r="I227" i="5"/>
  <c r="J227" i="5" s="1"/>
  <c r="I196" i="5"/>
  <c r="J196" i="5" l="1"/>
  <c r="I195" i="5"/>
  <c r="J195" i="5" s="1"/>
  <c r="I204" i="5"/>
  <c r="I203" i="5"/>
  <c r="J204" i="5"/>
  <c r="J203" i="5"/>
  <c r="I207" i="5" l="1"/>
  <c r="J207" i="5" s="1"/>
  <c r="I192" i="5"/>
  <c r="J192" i="5" s="1"/>
  <c r="I206" i="5" l="1"/>
  <c r="J206" i="5" s="1"/>
  <c r="I163" i="5"/>
  <c r="J163" i="5" s="1"/>
  <c r="I601" i="5" l="1"/>
  <c r="J601" i="5" s="1"/>
  <c r="I600" i="5"/>
  <c r="J600" i="5" s="1"/>
  <c r="I599" i="5"/>
  <c r="J599" i="5" s="1"/>
  <c r="I598" i="5"/>
  <c r="J598" i="5" s="1"/>
  <c r="I597" i="5"/>
  <c r="J597" i="5" s="1"/>
  <c r="I596" i="5"/>
  <c r="J596" i="5" s="1"/>
  <c r="I595" i="5"/>
  <c r="J595" i="5" s="1"/>
  <c r="I594" i="5"/>
  <c r="J594" i="5" s="1"/>
  <c r="I592" i="5"/>
  <c r="J592" i="5" s="1"/>
  <c r="I591" i="5"/>
  <c r="J591" i="5" s="1"/>
  <c r="I590" i="5"/>
  <c r="J590" i="5" s="1"/>
  <c r="I589" i="5"/>
  <c r="J589" i="5" s="1"/>
  <c r="I588" i="5"/>
  <c r="J588" i="5" s="1"/>
  <c r="I587" i="5"/>
  <c r="J587" i="5" s="1"/>
  <c r="I586" i="5"/>
  <c r="J586" i="5" s="1"/>
  <c r="I585" i="5"/>
  <c r="J585" i="5" s="1"/>
  <c r="I584" i="5"/>
  <c r="J584" i="5" s="1"/>
  <c r="I583" i="5"/>
  <c r="J583" i="5" s="1"/>
  <c r="I582" i="5"/>
  <c r="J582" i="5" s="1"/>
  <c r="I581" i="5"/>
  <c r="J581" i="5" s="1"/>
  <c r="I580" i="5"/>
  <c r="J580" i="5" s="1"/>
  <c r="I579" i="5"/>
  <c r="J579" i="5" s="1"/>
  <c r="I578" i="5"/>
  <c r="J578" i="5" s="1"/>
  <c r="I577" i="5"/>
  <c r="J577" i="5" s="1"/>
  <c r="I576" i="5"/>
  <c r="J576" i="5" s="1"/>
  <c r="I575" i="5"/>
  <c r="J575" i="5" s="1"/>
  <c r="I574" i="5"/>
  <c r="J574" i="5" s="1"/>
  <c r="I572" i="5"/>
  <c r="J572" i="5" s="1"/>
  <c r="I571" i="5"/>
  <c r="J571" i="5" s="1"/>
  <c r="J570" i="5"/>
  <c r="I569" i="5"/>
  <c r="J569" i="5" s="1"/>
  <c r="I568" i="5"/>
  <c r="J568" i="5" s="1"/>
  <c r="I567" i="5"/>
  <c r="J567" i="5" s="1"/>
  <c r="J566" i="5"/>
  <c r="I565" i="5"/>
  <c r="J565" i="5" s="1"/>
  <c r="I564" i="5"/>
  <c r="J564" i="5" s="1"/>
  <c r="I563" i="5"/>
  <c r="J563" i="5" s="1"/>
  <c r="I562" i="5"/>
  <c r="J562" i="5" s="1"/>
  <c r="I561" i="5"/>
  <c r="J561" i="5" s="1"/>
  <c r="I560" i="5"/>
  <c r="J560" i="5" s="1"/>
  <c r="I559" i="5"/>
  <c r="J559" i="5" s="1"/>
  <c r="I558" i="5"/>
  <c r="J558" i="5" s="1"/>
  <c r="I557" i="5"/>
  <c r="J557" i="5" s="1"/>
  <c r="I556" i="5"/>
  <c r="J556" i="5" s="1"/>
  <c r="I555" i="5"/>
  <c r="J555" i="5" s="1"/>
  <c r="I554" i="5"/>
  <c r="J554" i="5" s="1"/>
  <c r="I553" i="5"/>
  <c r="J553" i="5" s="1"/>
  <c r="I552" i="5"/>
  <c r="J552" i="5" s="1"/>
  <c r="I551" i="5"/>
  <c r="J551" i="5" s="1"/>
  <c r="I550" i="5"/>
  <c r="J550" i="5" s="1"/>
  <c r="I549" i="5"/>
  <c r="J549" i="5" s="1"/>
  <c r="I548" i="5"/>
  <c r="J548" i="5" s="1"/>
  <c r="I547" i="5"/>
  <c r="J547" i="5" s="1"/>
  <c r="I544" i="5"/>
  <c r="J544" i="5" s="1"/>
  <c r="I543" i="5"/>
  <c r="J543" i="5" s="1"/>
  <c r="I536" i="5"/>
  <c r="J536" i="5" s="1"/>
  <c r="I535" i="5"/>
  <c r="J535" i="5" s="1"/>
  <c r="I534" i="5"/>
  <c r="J534" i="5" s="1"/>
  <c r="I533" i="5"/>
  <c r="J533" i="5" s="1"/>
  <c r="I532" i="5"/>
  <c r="J532" i="5" s="1"/>
  <c r="I531" i="5"/>
  <c r="J531" i="5" s="1"/>
  <c r="I530" i="5"/>
  <c r="J530" i="5" s="1"/>
  <c r="I529" i="5"/>
  <c r="J529" i="5" s="1"/>
  <c r="I528" i="5"/>
  <c r="J528" i="5" s="1"/>
  <c r="I527" i="5"/>
  <c r="J527" i="5" s="1"/>
  <c r="I526" i="5"/>
  <c r="J526" i="5" s="1"/>
  <c r="I525" i="5"/>
  <c r="J525" i="5" s="1"/>
  <c r="I524" i="5"/>
  <c r="J524" i="5" s="1"/>
  <c r="I523" i="5"/>
  <c r="J523" i="5" s="1"/>
  <c r="I522" i="5"/>
  <c r="J522" i="5" s="1"/>
  <c r="I521" i="5"/>
  <c r="J521" i="5" s="1"/>
  <c r="I520" i="5"/>
  <c r="J520" i="5" s="1"/>
  <c r="I519" i="5"/>
  <c r="J519" i="5" s="1"/>
  <c r="I518" i="5"/>
  <c r="J518" i="5" s="1"/>
  <c r="I517" i="5"/>
  <c r="J517" i="5" s="1"/>
  <c r="I516" i="5"/>
  <c r="J516" i="5" s="1"/>
  <c r="I515" i="5"/>
  <c r="J515" i="5" s="1"/>
  <c r="I514" i="5"/>
  <c r="J514" i="5" s="1"/>
  <c r="I513" i="5"/>
  <c r="J513" i="5" s="1"/>
  <c r="I512" i="5"/>
  <c r="J512" i="5" s="1"/>
  <c r="I511" i="5"/>
  <c r="J511" i="5" s="1"/>
  <c r="I510" i="5"/>
  <c r="J510" i="5" s="1"/>
  <c r="I509" i="5"/>
  <c r="J509" i="5" s="1"/>
  <c r="I508" i="5"/>
  <c r="J508" i="5" s="1"/>
  <c r="I507" i="5"/>
  <c r="J507" i="5" s="1"/>
  <c r="I506" i="5"/>
  <c r="J506" i="5" s="1"/>
  <c r="I505" i="5"/>
  <c r="J505" i="5" s="1"/>
  <c r="I504" i="5"/>
  <c r="J504" i="5" s="1"/>
  <c r="I503" i="5"/>
  <c r="J503" i="5" s="1"/>
  <c r="I502" i="5"/>
  <c r="J502" i="5" s="1"/>
  <c r="I501" i="5"/>
  <c r="J501" i="5" s="1"/>
  <c r="I500" i="5"/>
  <c r="J500" i="5" s="1"/>
  <c r="I499" i="5"/>
  <c r="J499" i="5" s="1"/>
  <c r="I498" i="5"/>
  <c r="J498" i="5" s="1"/>
  <c r="I497" i="5"/>
  <c r="J497" i="5" s="1"/>
  <c r="I496" i="5"/>
  <c r="J496" i="5" s="1"/>
  <c r="I495" i="5"/>
  <c r="J495" i="5" s="1"/>
  <c r="I494" i="5"/>
  <c r="J494" i="5" s="1"/>
  <c r="I493" i="5"/>
  <c r="J493" i="5" s="1"/>
  <c r="I492" i="5"/>
  <c r="J492" i="5" s="1"/>
  <c r="I491" i="5"/>
  <c r="J491" i="5" s="1"/>
  <c r="I490" i="5"/>
  <c r="J490" i="5" s="1"/>
  <c r="I489" i="5"/>
  <c r="J489" i="5" s="1"/>
  <c r="I488" i="5"/>
  <c r="J488" i="5" s="1"/>
  <c r="I487" i="5"/>
  <c r="J487" i="5" s="1"/>
  <c r="I486" i="5"/>
  <c r="J486" i="5" s="1"/>
  <c r="I485" i="5"/>
  <c r="J485" i="5" s="1"/>
  <c r="I484" i="5"/>
  <c r="J484" i="5" s="1"/>
  <c r="I483" i="5"/>
  <c r="J483" i="5" s="1"/>
  <c r="I482" i="5"/>
  <c r="J482" i="5" s="1"/>
  <c r="I481" i="5"/>
  <c r="J481" i="5" s="1"/>
  <c r="I480" i="5"/>
  <c r="J480" i="5" s="1"/>
  <c r="I479" i="5"/>
  <c r="J479" i="5" s="1"/>
  <c r="I478" i="5"/>
  <c r="J478" i="5" s="1"/>
  <c r="I477" i="5"/>
  <c r="J477" i="5" s="1"/>
  <c r="I476" i="5"/>
  <c r="J476" i="5" s="1"/>
  <c r="I475" i="5"/>
  <c r="J475" i="5" s="1"/>
  <c r="I474" i="5"/>
  <c r="J474" i="5" s="1"/>
  <c r="I473" i="5"/>
  <c r="J473" i="5" s="1"/>
  <c r="I472" i="5"/>
  <c r="J472" i="5" s="1"/>
  <c r="I471" i="5"/>
  <c r="J471" i="5" s="1"/>
  <c r="I470" i="5"/>
  <c r="J470" i="5" s="1"/>
  <c r="I469" i="5"/>
  <c r="J469" i="5" s="1"/>
  <c r="I468" i="5"/>
  <c r="J468" i="5" s="1"/>
  <c r="I467" i="5"/>
  <c r="J467" i="5" s="1"/>
  <c r="I466" i="5"/>
  <c r="J466" i="5" s="1"/>
  <c r="I465" i="5"/>
  <c r="J465" i="5" s="1"/>
  <c r="I464" i="5"/>
  <c r="J464" i="5" s="1"/>
  <c r="I463" i="5"/>
  <c r="J463" i="5" s="1"/>
  <c r="I462" i="5"/>
  <c r="J462" i="5" s="1"/>
  <c r="I461" i="5"/>
  <c r="J461" i="5" s="1"/>
  <c r="I460" i="5"/>
  <c r="J460" i="5" s="1"/>
  <c r="I459" i="5"/>
  <c r="J459" i="5" s="1"/>
  <c r="I458" i="5"/>
  <c r="J458" i="5" s="1"/>
  <c r="I457" i="5"/>
  <c r="J457" i="5" s="1"/>
  <c r="I456" i="5"/>
  <c r="J456" i="5" s="1"/>
  <c r="I455" i="5"/>
  <c r="J455" i="5" s="1"/>
  <c r="M454" i="5"/>
  <c r="J452" i="5"/>
  <c r="I451" i="5"/>
  <c r="J451" i="5" s="1"/>
  <c r="I450" i="5"/>
  <c r="J450" i="5" s="1"/>
  <c r="I449" i="5"/>
  <c r="J449" i="5" s="1"/>
  <c r="I448" i="5"/>
  <c r="J448" i="5" s="1"/>
  <c r="I447" i="5"/>
  <c r="J447" i="5" s="1"/>
  <c r="I446" i="5"/>
  <c r="J446" i="5" s="1"/>
  <c r="I445" i="5"/>
  <c r="J445" i="5" s="1"/>
  <c r="I444" i="5"/>
  <c r="J444" i="5" s="1"/>
  <c r="I443" i="5"/>
  <c r="J443" i="5" s="1"/>
  <c r="I442" i="5"/>
  <c r="J442" i="5" s="1"/>
  <c r="I441" i="5"/>
  <c r="J441" i="5" s="1"/>
  <c r="I440" i="5"/>
  <c r="J440" i="5" s="1"/>
  <c r="I439" i="5"/>
  <c r="J439" i="5" s="1"/>
  <c r="I438" i="5"/>
  <c r="J438" i="5" s="1"/>
  <c r="I437" i="5"/>
  <c r="J437" i="5" s="1"/>
  <c r="I435" i="5"/>
  <c r="J435" i="5" s="1"/>
  <c r="I434" i="5"/>
  <c r="J434" i="5" s="1"/>
  <c r="I433" i="5"/>
  <c r="J433" i="5" s="1"/>
  <c r="I432" i="5"/>
  <c r="J432" i="5" s="1"/>
  <c r="I431" i="5"/>
  <c r="J431" i="5" s="1"/>
  <c r="I430" i="5"/>
  <c r="J430" i="5" s="1"/>
  <c r="I429" i="5"/>
  <c r="J429" i="5" s="1"/>
  <c r="I428" i="5"/>
  <c r="J428" i="5" s="1"/>
  <c r="I427" i="5"/>
  <c r="J427" i="5" s="1"/>
  <c r="I425" i="5"/>
  <c r="J425" i="5" s="1"/>
  <c r="I424" i="5"/>
  <c r="J424" i="5" s="1"/>
  <c r="I423" i="5"/>
  <c r="J423" i="5" s="1"/>
  <c r="I422" i="5"/>
  <c r="J422" i="5" s="1"/>
  <c r="J419" i="5"/>
  <c r="I418" i="5"/>
  <c r="J418" i="5" s="1"/>
  <c r="I417" i="5"/>
  <c r="J417" i="5" s="1"/>
  <c r="I415" i="5"/>
  <c r="J415" i="5" s="1"/>
  <c r="I414" i="5"/>
  <c r="J414" i="5" s="1"/>
  <c r="I413" i="5"/>
  <c r="J413" i="5" s="1"/>
  <c r="I412" i="5"/>
  <c r="J412" i="5" s="1"/>
  <c r="J407" i="5"/>
  <c r="I404" i="5"/>
  <c r="J404" i="5" s="1"/>
  <c r="I403" i="5"/>
  <c r="J403" i="5" s="1"/>
  <c r="I401" i="5"/>
  <c r="J401" i="5" s="1"/>
  <c r="I400" i="5"/>
  <c r="J400" i="5" s="1"/>
  <c r="I399" i="5"/>
  <c r="J399" i="5" s="1"/>
  <c r="I398" i="5"/>
  <c r="J398" i="5" s="1"/>
  <c r="I395" i="5"/>
  <c r="J395" i="5" s="1"/>
  <c r="I394" i="5"/>
  <c r="J394" i="5" s="1"/>
  <c r="I393" i="5"/>
  <c r="J393" i="5" s="1"/>
  <c r="I391" i="5"/>
  <c r="J391" i="5" s="1"/>
  <c r="I390" i="5"/>
  <c r="J390" i="5" s="1"/>
  <c r="I389" i="5"/>
  <c r="J389" i="5" s="1"/>
  <c r="I388" i="5"/>
  <c r="J388" i="5" s="1"/>
  <c r="I387" i="5"/>
  <c r="J387"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J362" i="5"/>
  <c r="I361" i="5"/>
  <c r="J361" i="5" s="1"/>
  <c r="I360" i="5"/>
  <c r="J360" i="5" s="1"/>
  <c r="I355" i="5"/>
  <c r="J355" i="5" s="1"/>
  <c r="I354" i="5"/>
  <c r="J354" i="5" s="1"/>
  <c r="I353" i="5"/>
  <c r="J353" i="5" s="1"/>
  <c r="I352" i="5"/>
  <c r="J352" i="5" s="1"/>
  <c r="I351" i="5"/>
  <c r="J351" i="5" s="1"/>
  <c r="I349" i="5"/>
  <c r="J349" i="5" s="1"/>
  <c r="I346" i="5"/>
  <c r="J346" i="5" s="1"/>
  <c r="I345" i="5"/>
  <c r="J345" i="5" s="1"/>
  <c r="I343" i="5"/>
  <c r="J343" i="5" s="1"/>
  <c r="J342" i="5"/>
  <c r="I338" i="5"/>
  <c r="J338" i="5" s="1"/>
  <c r="I337" i="5"/>
  <c r="J337" i="5" s="1"/>
  <c r="I336" i="5"/>
  <c r="J336" i="5" s="1"/>
  <c r="I333" i="5"/>
  <c r="J333" i="5" s="1"/>
  <c r="I332" i="5"/>
  <c r="J332" i="5" s="1"/>
  <c r="I331" i="5"/>
  <c r="J331" i="5" s="1"/>
  <c r="I330" i="5"/>
  <c r="J330" i="5" s="1"/>
  <c r="I329" i="5"/>
  <c r="J329" i="5" s="1"/>
  <c r="I327" i="5"/>
  <c r="J327" i="5" s="1"/>
  <c r="I326" i="5"/>
  <c r="J326" i="5" s="1"/>
  <c r="I325" i="5"/>
  <c r="J325"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0" i="5"/>
  <c r="J310" i="5" s="1"/>
  <c r="I309" i="5"/>
  <c r="J309" i="5" s="1"/>
  <c r="I307" i="5"/>
  <c r="J307" i="5" s="1"/>
  <c r="I306" i="5"/>
  <c r="J306" i="5" s="1"/>
  <c r="I305" i="5"/>
  <c r="J305" i="5" s="1"/>
  <c r="I303" i="5"/>
  <c r="J303" i="5" s="1"/>
  <c r="I302" i="5"/>
  <c r="J302" i="5" s="1"/>
  <c r="I300" i="5"/>
  <c r="J300" i="5" s="1"/>
  <c r="J296" i="5"/>
  <c r="I296" i="5"/>
  <c r="I294" i="5"/>
  <c r="J294" i="5" s="1"/>
  <c r="I293" i="5"/>
  <c r="J293" i="5" s="1"/>
  <c r="I292" i="5"/>
  <c r="J292" i="5" s="1"/>
  <c r="I291" i="5"/>
  <c r="J291" i="5" s="1"/>
  <c r="I290" i="5"/>
  <c r="J290" i="5" s="1"/>
  <c r="I289" i="5"/>
  <c r="J289" i="5" s="1"/>
  <c r="I288" i="5"/>
  <c r="J288" i="5" s="1"/>
  <c r="I287" i="5"/>
  <c r="J287" i="5" s="1"/>
  <c r="J286" i="5"/>
  <c r="I285" i="5"/>
  <c r="J285" i="5" s="1"/>
  <c r="I284" i="5"/>
  <c r="J284" i="5" s="1"/>
  <c r="I282" i="5"/>
  <c r="J282" i="5" s="1"/>
  <c r="I277" i="5"/>
  <c r="J277" i="5" s="1"/>
  <c r="I276" i="5"/>
  <c r="J276" i="5" s="1"/>
  <c r="I275" i="5"/>
  <c r="J275" i="5" s="1"/>
  <c r="I274" i="5"/>
  <c r="J274" i="5" s="1"/>
  <c r="I273" i="5"/>
  <c r="J273" i="5" s="1"/>
  <c r="I272" i="5"/>
  <c r="J272" i="5" s="1"/>
  <c r="I271" i="5"/>
  <c r="J271" i="5" s="1"/>
  <c r="I270" i="5"/>
  <c r="J270" i="5" s="1"/>
  <c r="I269" i="5"/>
  <c r="J269" i="5" s="1"/>
  <c r="I268" i="5"/>
  <c r="J268" i="5" s="1"/>
  <c r="I265" i="5"/>
  <c r="J265" i="5" s="1"/>
  <c r="I264" i="5"/>
  <c r="J264" i="5" s="1"/>
  <c r="I263" i="5"/>
  <c r="J263" i="5" s="1"/>
  <c r="I262" i="5"/>
  <c r="J262" i="5" s="1"/>
  <c r="I261" i="5"/>
  <c r="J261" i="5" s="1"/>
  <c r="I260" i="5"/>
  <c r="J260" i="5" s="1"/>
  <c r="I259" i="5"/>
  <c r="J259" i="5" s="1"/>
  <c r="I258" i="5"/>
  <c r="J258" i="5" s="1"/>
  <c r="I256" i="5"/>
  <c r="J256" i="5" s="1"/>
  <c r="I255" i="5"/>
  <c r="J255" i="5" s="1"/>
  <c r="I254" i="5"/>
  <c r="J254" i="5" s="1"/>
  <c r="I253" i="5"/>
  <c r="J253" i="5" s="1"/>
  <c r="J251" i="5"/>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5" i="5"/>
  <c r="J205" i="5" s="1"/>
  <c r="I202" i="5"/>
  <c r="J202" i="5" s="1"/>
  <c r="I201" i="5"/>
  <c r="J201" i="5" s="1"/>
  <c r="I200" i="5"/>
  <c r="J200" i="5" s="1"/>
  <c r="I199" i="5"/>
  <c r="J199" i="5" s="1"/>
  <c r="I198" i="5"/>
  <c r="J198" i="5" s="1"/>
  <c r="I197" i="5"/>
  <c r="J197" i="5" s="1"/>
  <c r="I194" i="5"/>
  <c r="J194" i="5" s="1"/>
  <c r="I193" i="5"/>
  <c r="J193" i="5" s="1"/>
  <c r="I191" i="5"/>
  <c r="J191" i="5" s="1"/>
  <c r="I190" i="5"/>
  <c r="J190" i="5" s="1"/>
  <c r="I189" i="5"/>
  <c r="J189" i="5" s="1"/>
  <c r="I188" i="5"/>
  <c r="J188" i="5" s="1"/>
  <c r="I186" i="5"/>
  <c r="J186" i="5" s="1"/>
  <c r="I185" i="5"/>
  <c r="J185" i="5" s="1"/>
  <c r="I184" i="5"/>
  <c r="J184" i="5" s="1"/>
  <c r="I183" i="5"/>
  <c r="J183" i="5" s="1"/>
  <c r="I182" i="5"/>
  <c r="J182" i="5" s="1"/>
  <c r="I181" i="5"/>
  <c r="J181" i="5" s="1"/>
  <c r="I179" i="5"/>
  <c r="J179" i="5" s="1"/>
  <c r="I178" i="5"/>
  <c r="J178" i="5" s="1"/>
  <c r="I177" i="5"/>
  <c r="J177" i="5" s="1"/>
  <c r="I176" i="5"/>
  <c r="J176" i="5" s="1"/>
  <c r="I174" i="5"/>
  <c r="J174" i="5" s="1"/>
  <c r="I173" i="5"/>
  <c r="J173" i="5" s="1"/>
  <c r="I172" i="5"/>
  <c r="J172" i="5" s="1"/>
  <c r="I171" i="5"/>
  <c r="J171" i="5" s="1"/>
  <c r="I170" i="5"/>
  <c r="J170" i="5" s="1"/>
  <c r="I169" i="5"/>
  <c r="J169" i="5" s="1"/>
  <c r="I168" i="5"/>
  <c r="J168" i="5" s="1"/>
  <c r="I167" i="5"/>
  <c r="J167" i="5" s="1"/>
  <c r="I166" i="5"/>
  <c r="J166" i="5" s="1"/>
  <c r="I165" i="5"/>
  <c r="J165"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1" i="5"/>
  <c r="J101" i="5" s="1"/>
  <c r="I100" i="5"/>
  <c r="J100" i="5" s="1"/>
  <c r="I99" i="5"/>
  <c r="J99" i="5" s="1"/>
  <c r="I98" i="5"/>
  <c r="J98"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2" i="5"/>
  <c r="J82" i="5" s="1"/>
  <c r="I81" i="5"/>
  <c r="J81" i="5" s="1"/>
  <c r="I80" i="5"/>
  <c r="J80" i="5" s="1"/>
  <c r="I79" i="5"/>
  <c r="J79" i="5" s="1"/>
  <c r="I77" i="5"/>
  <c r="J77" i="5" s="1"/>
  <c r="I76" i="5"/>
  <c r="J76" i="5" s="1"/>
  <c r="I75" i="5"/>
  <c r="J75" i="5" s="1"/>
  <c r="I74" i="5"/>
  <c r="J74" i="5" s="1"/>
  <c r="I73" i="5"/>
  <c r="J73"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I25" i="5"/>
  <c r="J25" i="5" s="1"/>
  <c r="I24" i="5"/>
  <c r="J24" i="5" s="1"/>
  <c r="I23" i="5"/>
  <c r="J23" i="5" s="1"/>
  <c r="I22" i="5"/>
  <c r="J22" i="5" s="1"/>
  <c r="I21" i="5"/>
  <c r="J21" i="5" s="1"/>
  <c r="I20" i="5"/>
  <c r="J20" i="5" s="1"/>
  <c r="I19" i="5"/>
  <c r="J19" i="5" s="1"/>
  <c r="I18" i="5"/>
  <c r="J18" i="5" s="1"/>
  <c r="I17" i="5"/>
  <c r="J17" i="5" s="1"/>
  <c r="I16" i="5"/>
  <c r="J16" i="5" s="1"/>
  <c r="I15" i="5"/>
  <c r="J15" i="5" s="1"/>
  <c r="I14" i="5"/>
  <c r="J14" i="5" s="1"/>
  <c r="I13" i="5"/>
  <c r="J13" i="5" s="1"/>
  <c r="I12" i="5"/>
  <c r="J12" i="5" s="1"/>
  <c r="I11" i="5"/>
  <c r="J11" i="5" s="1"/>
  <c r="I10" i="5"/>
  <c r="J10" i="5" s="1"/>
  <c r="I317" i="4" l="1"/>
  <c r="I287" i="4"/>
  <c r="J287" i="4" s="1"/>
  <c r="I257" i="4"/>
  <c r="I110" i="4"/>
  <c r="J110" i="4" s="1"/>
  <c r="I109" i="4"/>
  <c r="J109" i="4" s="1"/>
  <c r="I517" i="4"/>
  <c r="J517" i="4" s="1"/>
  <c r="I364" i="4"/>
  <c r="J364" i="4" s="1"/>
  <c r="I363" i="4"/>
  <c r="J363" i="4" s="1"/>
  <c r="I509" i="4"/>
  <c r="J509" i="4" s="1"/>
  <c r="I314" i="4"/>
  <c r="J314" i="4" s="1"/>
  <c r="I285" i="4"/>
  <c r="J285" i="4" s="1"/>
  <c r="I321" i="4"/>
  <c r="J321" i="4" s="1"/>
  <c r="I320" i="4"/>
  <c r="J320" i="4" s="1"/>
  <c r="I319" i="4"/>
  <c r="J319" i="4" s="1"/>
  <c r="I397" i="4"/>
  <c r="J397" i="4" s="1"/>
  <c r="I534" i="4" l="1"/>
  <c r="J534" i="4" s="1"/>
  <c r="I516" i="4"/>
  <c r="J516" i="4" s="1"/>
  <c r="I515" i="4"/>
  <c r="J515" i="4" s="1"/>
  <c r="I303" i="4"/>
  <c r="J303" i="4" s="1"/>
  <c r="I514" i="4"/>
  <c r="J514" i="4" s="1"/>
  <c r="I513" i="4"/>
  <c r="J513" i="4" s="1"/>
  <c r="I512" i="4" l="1"/>
  <c r="J512" i="4" s="1"/>
  <c r="I511" i="4"/>
  <c r="J511" i="4" s="1"/>
  <c r="I532" i="4"/>
  <c r="I533" i="4"/>
  <c r="J533" i="4" s="1"/>
  <c r="I510" i="4"/>
  <c r="J510" i="4" s="1"/>
  <c r="I237" i="4" l="1"/>
  <c r="J237" i="4" s="1"/>
  <c r="I531" i="4"/>
  <c r="J532" i="4"/>
  <c r="J531" i="4"/>
  <c r="I508" i="4"/>
  <c r="J508" i="4" s="1"/>
  <c r="I334" i="4" l="1"/>
  <c r="J334" i="4" s="1"/>
  <c r="I306" i="4"/>
  <c r="J306" i="4" s="1"/>
  <c r="I305" i="4"/>
  <c r="J305" i="4" s="1"/>
  <c r="I304" i="4"/>
  <c r="J304" i="4" s="1"/>
  <c r="I302" i="4"/>
  <c r="J302" i="4" s="1"/>
  <c r="I301" i="4"/>
  <c r="J301" i="4" s="1"/>
  <c r="I300" i="4" l="1"/>
  <c r="J300" i="4" s="1"/>
  <c r="I299" i="4"/>
  <c r="J299" i="4" s="1"/>
  <c r="I298" i="4"/>
  <c r="J298" i="4" s="1"/>
  <c r="I297" i="4"/>
  <c r="J297" i="4" s="1"/>
  <c r="I296" i="4"/>
  <c r="J296" i="4" s="1"/>
  <c r="I295" i="4"/>
  <c r="J295" i="4" s="1"/>
  <c r="I282" i="4"/>
  <c r="J282" i="4" s="1"/>
  <c r="I313" i="4"/>
  <c r="J313" i="4" s="1"/>
  <c r="I530" i="4"/>
  <c r="J530" i="4" s="1"/>
  <c r="I108" i="4"/>
  <c r="J108" i="4" s="1"/>
  <c r="I111" i="4"/>
  <c r="J111" i="4" s="1"/>
  <c r="I107" i="4" l="1"/>
  <c r="J107" i="4" s="1"/>
  <c r="I106" i="4"/>
  <c r="J106" i="4" s="1"/>
  <c r="I105" i="4"/>
  <c r="J105" i="4" s="1"/>
  <c r="I293" i="4"/>
  <c r="J293" i="4" s="1"/>
  <c r="I358" i="4"/>
  <c r="J358" i="4" s="1"/>
  <c r="I357" i="4"/>
  <c r="J357" i="4" s="1"/>
  <c r="I356" i="4"/>
  <c r="J356" i="4" s="1"/>
  <c r="I336" i="4" l="1"/>
  <c r="J336" i="4" s="1"/>
  <c r="I335" i="4" l="1"/>
  <c r="J335" i="4" s="1"/>
  <c r="I169" i="4"/>
  <c r="J169" i="4" s="1"/>
  <c r="I284" i="4"/>
  <c r="J284" i="4" s="1"/>
  <c r="I283" i="4"/>
  <c r="J283" i="4" s="1"/>
  <c r="I269" i="4"/>
  <c r="J269" i="4" s="1"/>
  <c r="I292" i="4"/>
  <c r="J292" i="4" s="1"/>
  <c r="I291" i="4"/>
  <c r="J291" i="4" s="1"/>
  <c r="I290" i="4"/>
  <c r="J290" i="4" s="1"/>
  <c r="I289" i="4"/>
  <c r="J289" i="4" s="1"/>
  <c r="I294" i="4"/>
  <c r="J294" i="4" s="1"/>
  <c r="I370" i="4"/>
  <c r="J370" i="4" s="1"/>
  <c r="I371" i="4" l="1"/>
  <c r="J371" i="4" s="1"/>
  <c r="I355" i="4"/>
  <c r="J355" i="4" s="1"/>
  <c r="I354" i="4"/>
  <c r="J354" i="4" s="1"/>
  <c r="I353" i="4"/>
  <c r="J353" i="4" s="1"/>
  <c r="I352" i="4"/>
  <c r="J352" i="4" s="1"/>
  <c r="I351" i="4"/>
  <c r="J351" i="4" s="1"/>
  <c r="I350" i="4"/>
  <c r="J350" i="4" s="1"/>
  <c r="I349" i="4"/>
  <c r="J349" i="4" s="1"/>
  <c r="I348" i="4"/>
  <c r="J348" i="4" s="1"/>
  <c r="I347" i="4"/>
  <c r="J347" i="4" s="1"/>
  <c r="I346" i="4"/>
  <c r="J346" i="4" s="1"/>
  <c r="I345" i="4"/>
  <c r="J345" i="4" s="1"/>
  <c r="I344" i="4"/>
  <c r="J344" i="4" s="1"/>
  <c r="I343" i="4"/>
  <c r="J343" i="4" s="1"/>
  <c r="I342" i="4"/>
  <c r="J342" i="4" s="1"/>
  <c r="I341" i="4"/>
  <c r="J341" i="4" s="1"/>
  <c r="I339" i="4" l="1"/>
  <c r="J339" i="4" s="1"/>
  <c r="I338" i="4"/>
  <c r="J338" i="4" s="1"/>
  <c r="I337" i="4"/>
  <c r="J337" i="4" s="1"/>
  <c r="I104" i="4"/>
  <c r="J104" i="4" s="1"/>
  <c r="I235" i="4"/>
  <c r="J235" i="4" s="1"/>
  <c r="I359" i="4"/>
  <c r="J359" i="4" s="1"/>
  <c r="I529" i="4"/>
  <c r="J529" i="4" s="1"/>
  <c r="I528" i="4"/>
  <c r="J528" i="4" s="1"/>
  <c r="I527" i="4"/>
  <c r="J527" i="4" s="1"/>
  <c r="I526" i="4"/>
  <c r="J526" i="4" s="1"/>
  <c r="I525" i="4"/>
  <c r="J525" i="4" s="1"/>
  <c r="I524" i="4"/>
  <c r="J524" i="4" s="1"/>
  <c r="I523" i="4"/>
  <c r="J523" i="4" s="1"/>
  <c r="I522" i="4"/>
  <c r="J522" i="4" s="1"/>
  <c r="I521" i="4"/>
  <c r="J521" i="4" s="1"/>
  <c r="I520" i="4"/>
  <c r="J520" i="4" s="1"/>
  <c r="I519" i="4"/>
  <c r="J519" i="4" s="1"/>
  <c r="I507" i="4"/>
  <c r="J507" i="4" s="1"/>
  <c r="I506" i="4"/>
  <c r="J506" i="4" s="1"/>
  <c r="I505" i="4"/>
  <c r="J505" i="4" s="1"/>
  <c r="I504" i="4"/>
  <c r="J504" i="4" s="1"/>
  <c r="I503" i="4"/>
  <c r="J503" i="4" s="1"/>
  <c r="I502" i="4"/>
  <c r="J502" i="4" s="1"/>
  <c r="I318" i="4"/>
  <c r="J318" i="4" s="1"/>
  <c r="J317" i="4"/>
  <c r="I316" i="4"/>
  <c r="J316" i="4" s="1"/>
  <c r="I315" i="4"/>
  <c r="J315" i="4" s="1"/>
  <c r="I286" i="4"/>
  <c r="J286" i="4" s="1"/>
  <c r="I42" i="4"/>
  <c r="J42" i="4" s="1"/>
  <c r="I41" i="4"/>
  <c r="J41" i="4" s="1"/>
  <c r="I40" i="4"/>
  <c r="J40" i="4" s="1"/>
  <c r="I322" i="4" l="1"/>
  <c r="J322" i="4" s="1"/>
  <c r="I362" i="4" l="1"/>
  <c r="J362" i="4" s="1"/>
  <c r="I376" i="4" l="1"/>
  <c r="J376" i="4" s="1"/>
  <c r="I375" i="4"/>
  <c r="J375" i="4" s="1"/>
  <c r="I374" i="4"/>
  <c r="J374" i="4" s="1"/>
  <c r="I307" i="4"/>
  <c r="J307" i="4" s="1"/>
  <c r="I281" i="4"/>
  <c r="J281" i="4" s="1"/>
  <c r="I308" i="4"/>
  <c r="J308" i="4" s="1"/>
  <c r="I333" i="4"/>
  <c r="J333" i="4" s="1"/>
  <c r="I312" i="4"/>
  <c r="J312" i="4" s="1"/>
  <c r="I332" i="4"/>
  <c r="J332" i="4" s="1"/>
  <c r="I331" i="4"/>
  <c r="J331" i="4" s="1"/>
  <c r="I330" i="4"/>
  <c r="J330" i="4" s="1"/>
  <c r="I329" i="4"/>
  <c r="J329" i="4" s="1"/>
  <c r="I328" i="4"/>
  <c r="J328" i="4" s="1"/>
  <c r="I327" i="4"/>
  <c r="J327" i="4" s="1"/>
  <c r="I326" i="4"/>
  <c r="J326" i="4" s="1"/>
  <c r="I325" i="4"/>
  <c r="J325" i="4" s="1"/>
  <c r="I324" i="4"/>
  <c r="J324" i="4" s="1"/>
  <c r="I323" i="4"/>
  <c r="J323" i="4" s="1"/>
  <c r="I311" i="4"/>
  <c r="J311" i="4" s="1"/>
  <c r="I310" i="4"/>
  <c r="J310" i="4" s="1"/>
  <c r="I309" i="4"/>
  <c r="J309" i="4" s="1"/>
  <c r="I275" i="4"/>
  <c r="I236" i="4"/>
  <c r="J236" i="4" s="1"/>
  <c r="I270" i="4"/>
  <c r="J270" i="4" s="1"/>
  <c r="I253" i="4"/>
  <c r="J253" i="4" s="1"/>
  <c r="I216" i="4"/>
  <c r="J216" i="4" s="1"/>
  <c r="I268" i="4"/>
  <c r="J268" i="4" s="1"/>
  <c r="J266" i="4"/>
  <c r="I208" i="4"/>
  <c r="J208" i="4" s="1"/>
  <c r="I207" i="4"/>
  <c r="J207" i="4" s="1"/>
  <c r="I201" i="4"/>
  <c r="J201" i="4" s="1"/>
  <c r="I256" i="4"/>
  <c r="J256" i="4" s="1"/>
  <c r="I255" i="4"/>
  <c r="J255" i="4" s="1"/>
  <c r="I254" i="4"/>
  <c r="J254" i="4" s="1"/>
  <c r="I251" i="4"/>
  <c r="J251" i="4" s="1"/>
  <c r="I215" i="4" l="1"/>
  <c r="J215" i="4" s="1"/>
  <c r="I218" i="4"/>
  <c r="I210" i="4"/>
  <c r="J210" i="4" s="1"/>
  <c r="I369" i="4"/>
  <c r="J369" i="4" s="1"/>
  <c r="I372" i="4"/>
  <c r="J372" i="4" s="1"/>
  <c r="I367" i="4"/>
  <c r="J367" i="4" s="1"/>
  <c r="I366" i="4" l="1"/>
  <c r="J366" i="4" s="1"/>
  <c r="M396" i="4" l="1"/>
  <c r="I396" i="4"/>
  <c r="J396" i="4" s="1"/>
  <c r="I395" i="4" l="1"/>
  <c r="J395" i="4" s="1"/>
  <c r="I394" i="4"/>
  <c r="J394" i="4" s="1"/>
  <c r="I393" i="4" l="1"/>
  <c r="J393" i="4" s="1"/>
  <c r="I392" i="4"/>
  <c r="I391" i="4"/>
  <c r="I388" i="4"/>
  <c r="I387" i="4"/>
  <c r="J387" i="4" s="1"/>
  <c r="I386" i="4"/>
  <c r="J386" i="4" s="1"/>
  <c r="I385" i="4"/>
  <c r="J385" i="4" s="1"/>
  <c r="I380" i="4"/>
  <c r="I95" i="4"/>
  <c r="J95" i="4" s="1"/>
  <c r="I94" i="4"/>
  <c r="J94" i="4" s="1"/>
  <c r="I88" i="4"/>
  <c r="J88" i="4" s="1"/>
  <c r="I87" i="4"/>
  <c r="J87" i="4" s="1"/>
  <c r="I86" i="4"/>
  <c r="J86" i="4" s="1"/>
  <c r="I85" i="4"/>
  <c r="J85" i="4" s="1"/>
  <c r="I93" i="4" l="1"/>
  <c r="J93" i="4" s="1"/>
  <c r="I92" i="4"/>
  <c r="J92" i="4" s="1"/>
  <c r="I84" i="4"/>
  <c r="I83" i="4"/>
  <c r="J83" i="4" s="1"/>
  <c r="I81" i="4"/>
  <c r="J81" i="4" s="1"/>
  <c r="I79" i="4"/>
  <c r="J79" i="4" s="1"/>
  <c r="I279" i="4" l="1"/>
  <c r="J279" i="4" s="1"/>
  <c r="I478" i="4"/>
  <c r="I477" i="4"/>
  <c r="J477" i="4" s="1"/>
  <c r="J478" i="4"/>
  <c r="I491" i="4" l="1"/>
  <c r="J491" i="4" s="1"/>
  <c r="I490" i="4"/>
  <c r="I482" i="4"/>
  <c r="J482" i="4" s="1"/>
  <c r="I481" i="4"/>
  <c r="J481" i="4" s="1"/>
  <c r="I480" i="4"/>
  <c r="I476" i="4"/>
  <c r="I475" i="4"/>
  <c r="I474" i="4"/>
  <c r="I473" i="4"/>
  <c r="I472" i="4"/>
  <c r="I471" i="4"/>
  <c r="I470" i="4"/>
  <c r="I469" i="4" l="1"/>
  <c r="I468" i="4"/>
  <c r="I467" i="4"/>
  <c r="I466" i="4"/>
  <c r="I465" i="4"/>
  <c r="I464" i="4"/>
  <c r="I463" i="4"/>
  <c r="I462" i="4"/>
  <c r="I461" i="4"/>
  <c r="I460" i="4"/>
  <c r="I459" i="4"/>
  <c r="I458" i="4" l="1"/>
  <c r="I457" i="4"/>
  <c r="I456" i="4"/>
  <c r="I455" i="4"/>
  <c r="I454" i="4"/>
  <c r="I453" i="4"/>
  <c r="I452" i="4"/>
  <c r="I451" i="4"/>
  <c r="J451" i="4" s="1"/>
  <c r="I450" i="4"/>
  <c r="I449" i="4"/>
  <c r="I448" i="4"/>
  <c r="I447" i="4"/>
  <c r="I446" i="4"/>
  <c r="I445" i="4"/>
  <c r="I444" i="4"/>
  <c r="I443" i="4"/>
  <c r="I442" i="4"/>
  <c r="I441" i="4"/>
  <c r="I440" i="4"/>
  <c r="I439" i="4"/>
  <c r="J439" i="4" l="1"/>
  <c r="J440" i="4"/>
  <c r="J441" i="4"/>
  <c r="J442" i="4"/>
  <c r="J443" i="4"/>
  <c r="J444" i="4"/>
  <c r="J445" i="4"/>
  <c r="J446" i="4"/>
  <c r="J447" i="4"/>
  <c r="J448" i="4"/>
  <c r="J449" i="4"/>
  <c r="J450"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I479" i="4"/>
  <c r="J479" i="4" s="1"/>
  <c r="J480" i="4"/>
  <c r="I483" i="4"/>
  <c r="J483" i="4" s="1"/>
  <c r="I484" i="4"/>
  <c r="J484" i="4" s="1"/>
  <c r="I485" i="4"/>
  <c r="J485" i="4" s="1"/>
  <c r="I486" i="4"/>
  <c r="J486" i="4" s="1"/>
  <c r="I487" i="4"/>
  <c r="J487" i="4" s="1"/>
  <c r="I488" i="4"/>
  <c r="J488" i="4" s="1"/>
  <c r="I438" i="4"/>
  <c r="J438" i="4" s="1"/>
  <c r="I437" i="4"/>
  <c r="J437" i="4" s="1"/>
  <c r="I436" i="4"/>
  <c r="J436" i="4" s="1"/>
  <c r="I435" i="4"/>
  <c r="J435" i="4" s="1"/>
  <c r="I434" i="4"/>
  <c r="I433" i="4"/>
  <c r="I432" i="4"/>
  <c r="J432" i="4" s="1"/>
  <c r="I431" i="4"/>
  <c r="J431" i="4" s="1"/>
  <c r="J433" i="4"/>
  <c r="J434" i="4"/>
  <c r="I430" i="4"/>
  <c r="J430" i="4" s="1"/>
  <c r="I429" i="4"/>
  <c r="J429" i="4" s="1"/>
  <c r="I428" i="4"/>
  <c r="J428" i="4" s="1"/>
  <c r="I427" i="4"/>
  <c r="J427" i="4" s="1"/>
  <c r="I426" i="4"/>
  <c r="I266" i="4"/>
  <c r="I265" i="4"/>
  <c r="J265" i="4" s="1"/>
  <c r="I264" i="4"/>
  <c r="J264" i="4" s="1"/>
  <c r="I263" i="4"/>
  <c r="J263" i="4" s="1"/>
  <c r="I267" i="4"/>
  <c r="J267" i="4" s="1"/>
  <c r="I262" i="4"/>
  <c r="J262" i="4" s="1"/>
  <c r="I234" i="4"/>
  <c r="J234" i="4" s="1"/>
  <c r="I242" i="4"/>
  <c r="J242" i="4" s="1"/>
  <c r="I240" i="4"/>
  <c r="J240" i="4" s="1"/>
  <c r="I233" i="4" l="1"/>
  <c r="J233" i="4" s="1"/>
  <c r="I252" i="4"/>
  <c r="J252" i="4" s="1"/>
  <c r="I232" i="4"/>
  <c r="J232" i="4" s="1"/>
  <c r="I198" i="4"/>
  <c r="I196" i="4"/>
  <c r="I182" i="4" l="1"/>
  <c r="I160" i="4"/>
  <c r="I159" i="4"/>
  <c r="I137" i="4"/>
  <c r="I138" i="4"/>
  <c r="J138" i="4" s="1"/>
  <c r="I135" i="4"/>
  <c r="I134" i="4"/>
  <c r="I22" i="4"/>
  <c r="I231" i="4"/>
  <c r="J231" i="4" s="1"/>
  <c r="I238" i="4"/>
  <c r="J238" i="4" s="1"/>
  <c r="I230" i="4"/>
  <c r="J230" i="4" s="1"/>
  <c r="I229" i="4" l="1"/>
  <c r="J229" i="4" s="1"/>
  <c r="I220" i="4" l="1"/>
  <c r="J220" i="4" s="1"/>
  <c r="I227" i="4"/>
  <c r="J227" i="4" s="1"/>
  <c r="I226" i="4" l="1"/>
  <c r="J226" i="4" s="1"/>
  <c r="I214" i="4"/>
  <c r="J214" i="4" s="1"/>
  <c r="I213" i="4"/>
  <c r="J213" i="4" s="1"/>
  <c r="I212" i="4"/>
  <c r="J212" i="4" s="1"/>
  <c r="I211" i="4"/>
  <c r="J211" i="4" s="1"/>
  <c r="I209" i="4" l="1"/>
  <c r="J209" i="4" s="1"/>
  <c r="I191" i="4"/>
  <c r="J191" i="4" s="1"/>
  <c r="J196" i="4"/>
  <c r="I206" i="4"/>
  <c r="J206" i="4" s="1"/>
  <c r="I205" i="4"/>
  <c r="J205" i="4" s="1"/>
  <c r="I204" i="4"/>
  <c r="J204" i="4" s="1"/>
  <c r="J182" i="4"/>
  <c r="I190" i="4"/>
  <c r="J190" i="4" s="1"/>
  <c r="I203" i="4" l="1"/>
  <c r="J203" i="4" s="1"/>
  <c r="I202" i="4"/>
  <c r="J202" i="4" s="1"/>
  <c r="I200" i="4" l="1"/>
  <c r="J200" i="4" s="1"/>
  <c r="I199" i="4"/>
  <c r="J199" i="4" s="1"/>
  <c r="J198" i="4"/>
  <c r="I197" i="4" l="1"/>
  <c r="J197" i="4" s="1"/>
  <c r="J160" i="4" l="1"/>
  <c r="J159" i="4"/>
  <c r="I158" i="4"/>
  <c r="J158" i="4" s="1"/>
  <c r="I157" i="4"/>
  <c r="J157" i="4" s="1"/>
  <c r="I156" i="4"/>
  <c r="J156" i="4" s="1"/>
  <c r="I155" i="4"/>
  <c r="J155" i="4" s="1"/>
  <c r="I143" i="4"/>
  <c r="J143" i="4" s="1"/>
  <c r="I142" i="4"/>
  <c r="J142" i="4" s="1"/>
  <c r="I141" i="4"/>
  <c r="J141" i="4" s="1"/>
  <c r="I140" i="4"/>
  <c r="J140" i="4" s="1"/>
  <c r="I139" i="4"/>
  <c r="J139" i="4" s="1"/>
  <c r="J137" i="4"/>
  <c r="I136" i="4"/>
  <c r="J136" i="4" s="1"/>
  <c r="J135" i="4"/>
  <c r="J134" i="4"/>
  <c r="I133" i="4"/>
  <c r="J133" i="4" s="1"/>
  <c r="I132" i="4"/>
  <c r="J132" i="4" s="1"/>
  <c r="I131" i="4"/>
  <c r="J131" i="4" s="1"/>
  <c r="I75" i="4" l="1"/>
  <c r="J75" i="4" s="1"/>
  <c r="I76" i="4" l="1"/>
  <c r="J76" i="4" s="1"/>
  <c r="I67" i="4" l="1"/>
  <c r="J67" i="4" s="1"/>
  <c r="I66" i="4"/>
  <c r="J66" i="4" s="1"/>
  <c r="I65" i="4"/>
  <c r="J65" i="4" s="1"/>
  <c r="I64" i="4"/>
  <c r="J64" i="4" s="1"/>
  <c r="I63" i="4"/>
  <c r="J63" i="4" s="1"/>
  <c r="I38" i="4" l="1"/>
  <c r="J38" i="4" s="1"/>
  <c r="I37" i="4"/>
  <c r="J37" i="4" s="1"/>
  <c r="I36" i="4"/>
  <c r="J36" i="4" s="1"/>
  <c r="I28" i="4" l="1"/>
  <c r="I24" i="4"/>
  <c r="J24" i="4" s="1"/>
  <c r="I23" i="4"/>
  <c r="J23" i="4" s="1"/>
  <c r="J22" i="4"/>
  <c r="I518" i="4" l="1"/>
  <c r="J518" i="4" s="1"/>
  <c r="I501" i="4"/>
  <c r="J501" i="4" s="1"/>
  <c r="I500" i="4"/>
  <c r="J500" i="4" s="1"/>
  <c r="I499" i="4"/>
  <c r="J499" i="4" s="1"/>
  <c r="I498" i="4"/>
  <c r="J498" i="4" s="1"/>
  <c r="I497" i="4"/>
  <c r="J497" i="4" s="1"/>
  <c r="I496" i="4"/>
  <c r="J496" i="4" s="1"/>
  <c r="I495" i="4"/>
  <c r="J495" i="4" s="1"/>
  <c r="I494" i="4"/>
  <c r="J494" i="4" s="1"/>
  <c r="I493" i="4"/>
  <c r="J493" i="4" s="1"/>
  <c r="I492" i="4"/>
  <c r="J492" i="4" s="1"/>
  <c r="J490" i="4"/>
  <c r="I489" i="4"/>
  <c r="J489" i="4" s="1"/>
  <c r="J426" i="4"/>
  <c r="I425" i="4"/>
  <c r="J425" i="4" s="1"/>
  <c r="I424" i="4"/>
  <c r="J424" i="4" s="1"/>
  <c r="I423" i="4"/>
  <c r="J423" i="4" s="1"/>
  <c r="I422" i="4"/>
  <c r="J422" i="4" s="1"/>
  <c r="I421" i="4"/>
  <c r="J421" i="4" s="1"/>
  <c r="I420" i="4"/>
  <c r="J420" i="4" s="1"/>
  <c r="I419" i="4"/>
  <c r="J419" i="4" s="1"/>
  <c r="I418" i="4"/>
  <c r="J418" i="4" s="1"/>
  <c r="I417" i="4"/>
  <c r="J417" i="4" s="1"/>
  <c r="I416" i="4"/>
  <c r="J416" i="4" s="1"/>
  <c r="I415" i="4"/>
  <c r="J415" i="4" s="1"/>
  <c r="I414" i="4"/>
  <c r="J414" i="4" s="1"/>
  <c r="I413" i="4"/>
  <c r="J413" i="4" s="1"/>
  <c r="I412" i="4"/>
  <c r="J412" i="4" s="1"/>
  <c r="I411" i="4"/>
  <c r="J411" i="4" s="1"/>
  <c r="I410" i="4"/>
  <c r="J410" i="4" s="1"/>
  <c r="I409" i="4"/>
  <c r="J409" i="4" s="1"/>
  <c r="I408" i="4"/>
  <c r="J408" i="4" s="1"/>
  <c r="I407" i="4"/>
  <c r="J407" i="4" s="1"/>
  <c r="I406" i="4"/>
  <c r="J406" i="4" s="1"/>
  <c r="I405" i="4"/>
  <c r="J405" i="4" s="1"/>
  <c r="I404" i="4"/>
  <c r="J404" i="4" s="1"/>
  <c r="I403" i="4"/>
  <c r="J403" i="4" s="1"/>
  <c r="I402" i="4"/>
  <c r="J402" i="4" s="1"/>
  <c r="I401" i="4"/>
  <c r="J401" i="4" s="1"/>
  <c r="I400" i="4"/>
  <c r="J400" i="4" s="1"/>
  <c r="I399" i="4"/>
  <c r="J399" i="4" s="1"/>
  <c r="I398" i="4"/>
  <c r="J398" i="4" s="1"/>
  <c r="J392" i="4"/>
  <c r="J391" i="4"/>
  <c r="I390" i="4"/>
  <c r="J390" i="4" s="1"/>
  <c r="I389" i="4"/>
  <c r="J389" i="4" s="1"/>
  <c r="J388" i="4"/>
  <c r="I384" i="4"/>
  <c r="J384" i="4" s="1"/>
  <c r="I383" i="4"/>
  <c r="J383" i="4" s="1"/>
  <c r="I382" i="4"/>
  <c r="J382" i="4" s="1"/>
  <c r="I381" i="4"/>
  <c r="J381" i="4" s="1"/>
  <c r="J380" i="4"/>
  <c r="I379" i="4"/>
  <c r="J379" i="4" s="1"/>
  <c r="I377" i="4"/>
  <c r="J377" i="4" s="1"/>
  <c r="I373" i="4"/>
  <c r="J373" i="4" s="1"/>
  <c r="I365" i="4"/>
  <c r="J365" i="4" s="1"/>
  <c r="I361" i="4"/>
  <c r="J361" i="4" s="1"/>
  <c r="I280" i="4"/>
  <c r="J280" i="4" s="1"/>
  <c r="I278" i="4"/>
  <c r="J278" i="4" s="1"/>
  <c r="I277" i="4"/>
  <c r="J277" i="4" s="1"/>
  <c r="I276" i="4"/>
  <c r="J276" i="4" s="1"/>
  <c r="J275" i="4"/>
  <c r="I274" i="4"/>
  <c r="J274" i="4" s="1"/>
  <c r="I272" i="4"/>
  <c r="J272" i="4" s="1"/>
  <c r="I271" i="4"/>
  <c r="J271" i="4" s="1"/>
  <c r="I261" i="4"/>
  <c r="J261" i="4" s="1"/>
  <c r="I260" i="4"/>
  <c r="J260" i="4" s="1"/>
  <c r="I259" i="4"/>
  <c r="J259" i="4" s="1"/>
  <c r="I258" i="4"/>
  <c r="J258" i="4" s="1"/>
  <c r="J257" i="4"/>
  <c r="I250" i="4"/>
  <c r="J250" i="4" s="1"/>
  <c r="I249" i="4"/>
  <c r="J249" i="4" s="1"/>
  <c r="I248" i="4"/>
  <c r="J248" i="4" s="1"/>
  <c r="I247" i="4"/>
  <c r="J247" i="4" s="1"/>
  <c r="I246" i="4"/>
  <c r="J246" i="4" s="1"/>
  <c r="I245" i="4"/>
  <c r="J245" i="4" s="1"/>
  <c r="I244" i="4"/>
  <c r="J244" i="4" s="1"/>
  <c r="I243" i="4"/>
  <c r="J243" i="4" s="1"/>
  <c r="I241" i="4"/>
  <c r="J241" i="4" s="1"/>
  <c r="I239" i="4"/>
  <c r="J239" i="4" s="1"/>
  <c r="I228" i="4"/>
  <c r="J228" i="4" s="1"/>
  <c r="I225" i="4"/>
  <c r="J225" i="4" s="1"/>
  <c r="I224" i="4"/>
  <c r="J224" i="4" s="1"/>
  <c r="I223" i="4"/>
  <c r="J223" i="4" s="1"/>
  <c r="I222" i="4"/>
  <c r="J222" i="4" s="1"/>
  <c r="I221" i="4"/>
  <c r="J221" i="4" s="1"/>
  <c r="I219" i="4"/>
  <c r="J219" i="4" s="1"/>
  <c r="J218" i="4"/>
  <c r="I195" i="4"/>
  <c r="J195" i="4" s="1"/>
  <c r="I194" i="4"/>
  <c r="J194" i="4" s="1"/>
  <c r="I193" i="4"/>
  <c r="J193" i="4" s="1"/>
  <c r="I192" i="4"/>
  <c r="J192" i="4" s="1"/>
  <c r="I189" i="4"/>
  <c r="J189" i="4" s="1"/>
  <c r="I188" i="4"/>
  <c r="J188" i="4" s="1"/>
  <c r="I187" i="4"/>
  <c r="J187" i="4" s="1"/>
  <c r="I186" i="4"/>
  <c r="J186" i="4" s="1"/>
  <c r="I185" i="4"/>
  <c r="J185" i="4" s="1"/>
  <c r="I183" i="4"/>
  <c r="J183" i="4" s="1"/>
  <c r="I181" i="4"/>
  <c r="J181" i="4" s="1"/>
  <c r="I180" i="4"/>
  <c r="J180" i="4" s="1"/>
  <c r="I179" i="4"/>
  <c r="J179" i="4" s="1"/>
  <c r="I178" i="4"/>
  <c r="J178" i="4" s="1"/>
  <c r="I176" i="4"/>
  <c r="J176" i="4" s="1"/>
  <c r="I175" i="4"/>
  <c r="J175" i="4" s="1"/>
  <c r="I174" i="4"/>
  <c r="J174" i="4" s="1"/>
  <c r="I173" i="4"/>
  <c r="J173" i="4" s="1"/>
  <c r="I171" i="4"/>
  <c r="J171" i="4" s="1"/>
  <c r="I170" i="4"/>
  <c r="J170" i="4" s="1"/>
  <c r="I168" i="4"/>
  <c r="J168" i="4" s="1"/>
  <c r="I167" i="4"/>
  <c r="J167" i="4" s="1"/>
  <c r="I166" i="4"/>
  <c r="J166" i="4" s="1"/>
  <c r="I165" i="4"/>
  <c r="J165" i="4" s="1"/>
  <c r="I164" i="4"/>
  <c r="J164" i="4" s="1"/>
  <c r="I163" i="4"/>
  <c r="J163" i="4" s="1"/>
  <c r="I162" i="4"/>
  <c r="J162" i="4" s="1"/>
  <c r="I154" i="4"/>
  <c r="J154" i="4" s="1"/>
  <c r="I153" i="4"/>
  <c r="J153" i="4" s="1"/>
  <c r="I152" i="4"/>
  <c r="J152" i="4" s="1"/>
  <c r="I151" i="4"/>
  <c r="J151" i="4" s="1"/>
  <c r="I150" i="4"/>
  <c r="J150" i="4" s="1"/>
  <c r="I149" i="4"/>
  <c r="J149" i="4" s="1"/>
  <c r="I148" i="4"/>
  <c r="J148" i="4" s="1"/>
  <c r="I147" i="4"/>
  <c r="J147" i="4" s="1"/>
  <c r="I146" i="4"/>
  <c r="J146" i="4" s="1"/>
  <c r="I145" i="4"/>
  <c r="J145" i="4" s="1"/>
  <c r="I144" i="4"/>
  <c r="J144" i="4" s="1"/>
  <c r="I130" i="4"/>
  <c r="J130" i="4" s="1"/>
  <c r="I129" i="4"/>
  <c r="J129" i="4" s="1"/>
  <c r="I128" i="4"/>
  <c r="J128" i="4" s="1"/>
  <c r="I127" i="4"/>
  <c r="J127" i="4" s="1"/>
  <c r="I126" i="4"/>
  <c r="J126" i="4" s="1"/>
  <c r="I125" i="4"/>
  <c r="J125" i="4" s="1"/>
  <c r="I124" i="4"/>
  <c r="J124" i="4" s="1"/>
  <c r="I123" i="4"/>
  <c r="J123" i="4" s="1"/>
  <c r="I122" i="4"/>
  <c r="J122" i="4" s="1"/>
  <c r="I121" i="4"/>
  <c r="J121" i="4" s="1"/>
  <c r="I120" i="4"/>
  <c r="J120" i="4" s="1"/>
  <c r="I119" i="4"/>
  <c r="J119" i="4" s="1"/>
  <c r="I118" i="4"/>
  <c r="J118" i="4" s="1"/>
  <c r="I117" i="4"/>
  <c r="J117" i="4" s="1"/>
  <c r="I116" i="4"/>
  <c r="J116" i="4" s="1"/>
  <c r="I115" i="4"/>
  <c r="J115" i="4" s="1"/>
  <c r="I114" i="4"/>
  <c r="J114" i="4" s="1"/>
  <c r="I113" i="4"/>
  <c r="J113" i="4" s="1"/>
  <c r="I112" i="4"/>
  <c r="J112" i="4" s="1"/>
  <c r="I103" i="4"/>
  <c r="J103" i="4" s="1"/>
  <c r="I102" i="4"/>
  <c r="J102" i="4" s="1"/>
  <c r="I101" i="4"/>
  <c r="J101" i="4" s="1"/>
  <c r="I99" i="4"/>
  <c r="J99" i="4" s="1"/>
  <c r="I98" i="4"/>
  <c r="J98" i="4" s="1"/>
  <c r="I97" i="4"/>
  <c r="J97" i="4" s="1"/>
  <c r="I96" i="4"/>
  <c r="J96" i="4" s="1"/>
  <c r="I91" i="4"/>
  <c r="J91" i="4" s="1"/>
  <c r="I90" i="4"/>
  <c r="J90" i="4" s="1"/>
  <c r="I89" i="4"/>
  <c r="J89" i="4" s="1"/>
  <c r="J84" i="4"/>
  <c r="I82" i="4"/>
  <c r="J82" i="4" s="1"/>
  <c r="I80" i="4"/>
  <c r="J80" i="4" s="1"/>
  <c r="I77" i="4"/>
  <c r="J77" i="4" s="1"/>
  <c r="I74" i="4"/>
  <c r="J74" i="4" s="1"/>
  <c r="I73" i="4"/>
  <c r="J73" i="4" s="1"/>
  <c r="I71" i="4"/>
  <c r="J71" i="4" s="1"/>
  <c r="I70" i="4"/>
  <c r="J70" i="4" s="1"/>
  <c r="I69" i="4"/>
  <c r="J69" i="4" s="1"/>
  <c r="I68" i="4"/>
  <c r="J68" i="4" s="1"/>
  <c r="I62" i="4"/>
  <c r="J62" i="4" s="1"/>
  <c r="I61" i="4"/>
  <c r="J61" i="4" s="1"/>
  <c r="I60" i="4"/>
  <c r="J60" i="4" s="1"/>
  <c r="I59" i="4"/>
  <c r="J59" i="4" s="1"/>
  <c r="I58" i="4"/>
  <c r="J58" i="4" s="1"/>
  <c r="I57" i="4"/>
  <c r="J57" i="4" s="1"/>
  <c r="I56" i="4"/>
  <c r="J56" i="4" s="1"/>
  <c r="I55" i="4"/>
  <c r="J55" i="4" s="1"/>
  <c r="I54" i="4"/>
  <c r="J54" i="4" s="1"/>
  <c r="I53" i="4"/>
  <c r="J53" i="4" s="1"/>
  <c r="I52" i="4"/>
  <c r="J52" i="4" s="1"/>
  <c r="I51" i="4"/>
  <c r="J51" i="4" s="1"/>
  <c r="I50" i="4"/>
  <c r="J50" i="4" s="1"/>
  <c r="I49" i="4"/>
  <c r="J49" i="4" s="1"/>
  <c r="I48" i="4"/>
  <c r="J48" i="4" s="1"/>
  <c r="I47" i="4"/>
  <c r="J47" i="4" s="1"/>
  <c r="I46" i="4"/>
  <c r="J46" i="4" s="1"/>
  <c r="I45" i="4"/>
  <c r="J45" i="4" s="1"/>
  <c r="I44" i="4"/>
  <c r="J44" i="4" s="1"/>
  <c r="I43" i="4"/>
  <c r="J43" i="4" s="1"/>
  <c r="I39" i="4"/>
  <c r="J39" i="4" s="1"/>
  <c r="I35" i="4"/>
  <c r="J35" i="4" s="1"/>
  <c r="I34" i="4"/>
  <c r="J34" i="4" s="1"/>
  <c r="I33" i="4"/>
  <c r="J33" i="4" s="1"/>
  <c r="I32" i="4"/>
  <c r="J32" i="4" s="1"/>
  <c r="I31" i="4"/>
  <c r="J31" i="4" s="1"/>
  <c r="I30" i="4"/>
  <c r="J30" i="4" s="1"/>
  <c r="I29" i="4"/>
  <c r="J29" i="4" s="1"/>
  <c r="J28" i="4"/>
  <c r="I27" i="4"/>
  <c r="J27" i="4" s="1"/>
  <c r="I26" i="4"/>
  <c r="J26" i="4" s="1"/>
  <c r="I25" i="4"/>
  <c r="J25" i="4" s="1"/>
  <c r="I21" i="4"/>
  <c r="J21" i="4" s="1"/>
  <c r="I20" i="4"/>
  <c r="J20" i="4" s="1"/>
  <c r="I19" i="4"/>
  <c r="J19" i="4" s="1"/>
  <c r="I18" i="4"/>
  <c r="J18" i="4" s="1"/>
  <c r="I17" i="4"/>
  <c r="J17" i="4" s="1"/>
  <c r="I16" i="4"/>
  <c r="J16" i="4" s="1"/>
  <c r="I15" i="4"/>
  <c r="J15" i="4" s="1"/>
  <c r="I14" i="4"/>
  <c r="J14" i="4" s="1"/>
  <c r="I13" i="4"/>
  <c r="J13" i="4" s="1"/>
  <c r="I12" i="4"/>
  <c r="J12" i="4" s="1"/>
  <c r="I11" i="4"/>
  <c r="J11" i="4" s="1"/>
  <c r="I10" i="4"/>
  <c r="J10" i="4" s="1"/>
  <c r="H236" i="3" l="1"/>
  <c r="I236" i="3" s="1"/>
  <c r="H235" i="3"/>
  <c r="H233" i="3"/>
  <c r="I233" i="3" s="1"/>
  <c r="H232" i="3"/>
  <c r="H225" i="3"/>
  <c r="I225" i="3" s="1"/>
  <c r="H224" i="3"/>
  <c r="I224" i="3" s="1"/>
  <c r="H199" i="3"/>
  <c r="I199" i="3" s="1"/>
  <c r="H198" i="3"/>
  <c r="I198" i="3" s="1"/>
  <c r="H197" i="3"/>
  <c r="I197" i="3" s="1"/>
  <c r="H196" i="3"/>
  <c r="I196" i="3" s="1"/>
  <c r="H195" i="3"/>
  <c r="I195" i="3" s="1"/>
  <c r="H193" i="3" l="1"/>
  <c r="I193" i="3" s="1"/>
  <c r="H194" i="3"/>
  <c r="I194" i="3" s="1"/>
  <c r="H143" i="3" l="1"/>
  <c r="I143" i="3" s="1"/>
  <c r="H142" i="3"/>
  <c r="H139" i="3"/>
  <c r="I139" i="3" s="1"/>
  <c r="H138" i="3"/>
  <c r="I138" i="3" s="1"/>
  <c r="H136" i="3"/>
  <c r="I136" i="3" s="1"/>
  <c r="H135" i="3"/>
  <c r="I135" i="3" s="1"/>
  <c r="H132" i="3"/>
  <c r="I132" i="3" s="1"/>
  <c r="H131" i="3"/>
  <c r="I131" i="3" s="1"/>
  <c r="H130" i="3"/>
  <c r="I130" i="3" s="1"/>
  <c r="H129" i="3"/>
  <c r="I129" i="3" s="1"/>
  <c r="H127" i="3"/>
  <c r="I127" i="3" s="1"/>
  <c r="H126" i="3"/>
  <c r="I126" i="3" s="1"/>
  <c r="H125" i="3"/>
  <c r="I125" i="3" s="1"/>
  <c r="H124" i="3"/>
  <c r="I124" i="3" s="1"/>
  <c r="H120" i="3"/>
  <c r="I120" i="3" s="1"/>
  <c r="H119" i="3"/>
  <c r="I119" i="3" s="1"/>
  <c r="H118" i="3"/>
  <c r="I118" i="3" s="1"/>
  <c r="H117" i="3"/>
  <c r="I117" i="3" s="1"/>
  <c r="H116" i="3"/>
  <c r="H83" i="3" l="1"/>
  <c r="H68" i="3"/>
  <c r="H67" i="3" l="1"/>
  <c r="H65" i="3"/>
  <c r="H63" i="3"/>
  <c r="H44" i="3" l="1"/>
  <c r="I44" i="3" s="1"/>
  <c r="H241" i="3"/>
  <c r="I241" i="3" s="1"/>
  <c r="I240" i="3"/>
  <c r="H239" i="3"/>
  <c r="I239" i="3" s="1"/>
  <c r="H238" i="3"/>
  <c r="I238" i="3" s="1"/>
  <c r="H237" i="3"/>
  <c r="I237" i="3" s="1"/>
  <c r="I235" i="3"/>
  <c r="H234" i="3"/>
  <c r="I234" i="3" s="1"/>
  <c r="I232" i="3"/>
  <c r="H231" i="3"/>
  <c r="I231" i="3" s="1"/>
  <c r="H230" i="3"/>
  <c r="I230" i="3" s="1"/>
  <c r="H229" i="3"/>
  <c r="I229" i="3" s="1"/>
  <c r="H228" i="3"/>
  <c r="I228" i="3" s="1"/>
  <c r="H227" i="3"/>
  <c r="I227" i="3" s="1"/>
  <c r="H226" i="3"/>
  <c r="I226" i="3" s="1"/>
  <c r="H223" i="3"/>
  <c r="I223" i="3" s="1"/>
  <c r="H222" i="3"/>
  <c r="I222" i="3" s="1"/>
  <c r="H221" i="3"/>
  <c r="I221" i="3" s="1"/>
  <c r="H220" i="3"/>
  <c r="I220" i="3" s="1"/>
  <c r="H219" i="3"/>
  <c r="I219" i="3" s="1"/>
  <c r="H218" i="3"/>
  <c r="I218" i="3" s="1"/>
  <c r="H217" i="3"/>
  <c r="I217" i="3" s="1"/>
  <c r="H216" i="3"/>
  <c r="I216" i="3" s="1"/>
  <c r="H215" i="3"/>
  <c r="I215" i="3" s="1"/>
  <c r="H214" i="3"/>
  <c r="I214" i="3" s="1"/>
  <c r="H213" i="3"/>
  <c r="I213" i="3" s="1"/>
  <c r="H212" i="3"/>
  <c r="I212" i="3" s="1"/>
  <c r="H211" i="3"/>
  <c r="I211" i="3" s="1"/>
  <c r="H210" i="3"/>
  <c r="I210" i="3" s="1"/>
  <c r="H209" i="3"/>
  <c r="I209" i="3" s="1"/>
  <c r="H208" i="3"/>
  <c r="I208" i="3" s="1"/>
  <c r="H207" i="3"/>
  <c r="I207" i="3" s="1"/>
  <c r="H206" i="3"/>
  <c r="I206" i="3" s="1"/>
  <c r="H205" i="3"/>
  <c r="I205" i="3" s="1"/>
  <c r="H204" i="3"/>
  <c r="I204" i="3" s="1"/>
  <c r="H203" i="3"/>
  <c r="I203" i="3" s="1"/>
  <c r="H202" i="3"/>
  <c r="I202" i="3" s="1"/>
  <c r="H201" i="3"/>
  <c r="I201" i="3" s="1"/>
  <c r="H200" i="3"/>
  <c r="I200" i="3" s="1"/>
  <c r="H192" i="3"/>
  <c r="I192" i="3" s="1"/>
  <c r="H191" i="3"/>
  <c r="I191" i="3" s="1"/>
  <c r="H190" i="3"/>
  <c r="I190" i="3" s="1"/>
  <c r="H189" i="3"/>
  <c r="I189" i="3" s="1"/>
  <c r="H188" i="3"/>
  <c r="I188" i="3" s="1"/>
  <c r="H187" i="3"/>
  <c r="I187" i="3" s="1"/>
  <c r="H186" i="3"/>
  <c r="I186" i="3" s="1"/>
  <c r="H184" i="3"/>
  <c r="I184" i="3" s="1"/>
  <c r="H183" i="3"/>
  <c r="I183" i="3" s="1"/>
  <c r="H182" i="3"/>
  <c r="I182" i="3" s="1"/>
  <c r="H181" i="3"/>
  <c r="I181" i="3" s="1"/>
  <c r="H180" i="3"/>
  <c r="I180" i="3" s="1"/>
  <c r="H179" i="3"/>
  <c r="I179" i="3" s="1"/>
  <c r="H178" i="3"/>
  <c r="I178" i="3" s="1"/>
  <c r="H177" i="3"/>
  <c r="I177" i="3" s="1"/>
  <c r="H176" i="3"/>
  <c r="I176" i="3" s="1"/>
  <c r="H175" i="3"/>
  <c r="I175" i="3" s="1"/>
  <c r="H174" i="3"/>
  <c r="I174" i="3" s="1"/>
  <c r="H173" i="3"/>
  <c r="I173" i="3" s="1"/>
  <c r="H171" i="3"/>
  <c r="I171" i="3" s="1"/>
  <c r="H170" i="3"/>
  <c r="I170" i="3" s="1"/>
  <c r="H169" i="3"/>
  <c r="I169" i="3" s="1"/>
  <c r="H168" i="3"/>
  <c r="I168" i="3" s="1"/>
  <c r="H167" i="3"/>
  <c r="I167" i="3" s="1"/>
  <c r="H166" i="3"/>
  <c r="I166" i="3" s="1"/>
  <c r="H165" i="3"/>
  <c r="I165" i="3" s="1"/>
  <c r="H164" i="3"/>
  <c r="I164" i="3" s="1"/>
  <c r="H163" i="3"/>
  <c r="I163" i="3" s="1"/>
  <c r="H162" i="3"/>
  <c r="I162" i="3" s="1"/>
  <c r="H161" i="3"/>
  <c r="I161" i="3" s="1"/>
  <c r="H160" i="3"/>
  <c r="I160" i="3" s="1"/>
  <c r="H159" i="3"/>
  <c r="I159" i="3" s="1"/>
  <c r="H158" i="3"/>
  <c r="I158" i="3" s="1"/>
  <c r="H157" i="3"/>
  <c r="I157" i="3" s="1"/>
  <c r="H156" i="3"/>
  <c r="I156" i="3" s="1"/>
  <c r="H155" i="3"/>
  <c r="I155" i="3" s="1"/>
  <c r="H154" i="3"/>
  <c r="I154" i="3" s="1"/>
  <c r="H153" i="3"/>
  <c r="I153" i="3" s="1"/>
  <c r="H152" i="3"/>
  <c r="I152" i="3" s="1"/>
  <c r="H151" i="3"/>
  <c r="I151" i="3" s="1"/>
  <c r="H150" i="3"/>
  <c r="I150" i="3" s="1"/>
  <c r="H149" i="3"/>
  <c r="I149" i="3" s="1"/>
  <c r="H148" i="3"/>
  <c r="I148" i="3" s="1"/>
  <c r="H147" i="3"/>
  <c r="I147" i="3" s="1"/>
  <c r="H146" i="3"/>
  <c r="I146" i="3" s="1"/>
  <c r="H144" i="3"/>
  <c r="I144" i="3" s="1"/>
  <c r="I142" i="3"/>
  <c r="H141" i="3"/>
  <c r="I141" i="3" s="1"/>
  <c r="H140" i="3"/>
  <c r="I140" i="3" s="1"/>
  <c r="H137" i="3"/>
  <c r="I137" i="3" s="1"/>
  <c r="H133" i="3"/>
  <c r="I133" i="3" s="1"/>
  <c r="H122" i="3"/>
  <c r="I122" i="3" s="1"/>
  <c r="I116" i="3"/>
  <c r="H115" i="3"/>
  <c r="I115" i="3" s="1"/>
  <c r="H114" i="3"/>
  <c r="I114" i="3" s="1"/>
  <c r="H112" i="3"/>
  <c r="I112" i="3" s="1"/>
  <c r="H111" i="3"/>
  <c r="I111" i="3" s="1"/>
  <c r="H110" i="3"/>
  <c r="I110" i="3" s="1"/>
  <c r="H109" i="3"/>
  <c r="I109" i="3" s="1"/>
  <c r="H108" i="3"/>
  <c r="I108" i="3" s="1"/>
  <c r="H107" i="3"/>
  <c r="I107" i="3" s="1"/>
  <c r="H106" i="3"/>
  <c r="I106" i="3" s="1"/>
  <c r="H105" i="3"/>
  <c r="I105" i="3" s="1"/>
  <c r="H104" i="3"/>
  <c r="I104" i="3" s="1"/>
  <c r="H103" i="3"/>
  <c r="I103" i="3" s="1"/>
  <c r="H102" i="3"/>
  <c r="I102" i="3" s="1"/>
  <c r="H101" i="3"/>
  <c r="I101" i="3" s="1"/>
  <c r="H100" i="3"/>
  <c r="I100" i="3" s="1"/>
  <c r="H99" i="3"/>
  <c r="I99" i="3" s="1"/>
  <c r="H98" i="3"/>
  <c r="I98" i="3" s="1"/>
  <c r="H97" i="3"/>
  <c r="I97" i="3" s="1"/>
  <c r="H96" i="3"/>
  <c r="I96" i="3" s="1"/>
  <c r="H95" i="3"/>
  <c r="I95" i="3" s="1"/>
  <c r="H94" i="3"/>
  <c r="I94" i="3" s="1"/>
  <c r="H93" i="3"/>
  <c r="I93" i="3" s="1"/>
  <c r="H92" i="3"/>
  <c r="I92" i="3" s="1"/>
  <c r="H91" i="3"/>
  <c r="I91" i="3" s="1"/>
  <c r="H90" i="3"/>
  <c r="I90" i="3" s="1"/>
  <c r="H89" i="3"/>
  <c r="I89" i="3" s="1"/>
  <c r="H88" i="3"/>
  <c r="I88" i="3" s="1"/>
  <c r="H87" i="3"/>
  <c r="I87" i="3" s="1"/>
  <c r="H86" i="3"/>
  <c r="I86" i="3" s="1"/>
  <c r="H85" i="3"/>
  <c r="I85" i="3" s="1"/>
  <c r="H84" i="3"/>
  <c r="I84" i="3" s="1"/>
  <c r="I83" i="3"/>
  <c r="H82" i="3"/>
  <c r="I82" i="3" s="1"/>
  <c r="H121" i="3"/>
  <c r="I121" i="3" s="1"/>
  <c r="H81" i="3"/>
  <c r="I81" i="3" s="1"/>
  <c r="H80" i="3"/>
  <c r="I80" i="3" s="1"/>
  <c r="H79" i="3"/>
  <c r="I79" i="3" s="1"/>
  <c r="H78" i="3"/>
  <c r="I78" i="3" s="1"/>
  <c r="H77" i="3"/>
  <c r="I77" i="3" s="1"/>
  <c r="H75" i="3"/>
  <c r="I75" i="3" s="1"/>
  <c r="H74" i="3"/>
  <c r="I74" i="3" s="1"/>
  <c r="H73" i="3"/>
  <c r="I73" i="3" s="1"/>
  <c r="H72" i="3"/>
  <c r="I72" i="3" s="1"/>
  <c r="H71" i="3"/>
  <c r="I71" i="3" s="1"/>
  <c r="H70" i="3"/>
  <c r="I70" i="3" s="1"/>
  <c r="H69" i="3"/>
  <c r="I69" i="3" s="1"/>
  <c r="I68" i="3"/>
  <c r="I67" i="3"/>
  <c r="H66" i="3"/>
  <c r="I66" i="3" s="1"/>
  <c r="I65" i="3"/>
  <c r="H64" i="3"/>
  <c r="I64" i="3" s="1"/>
  <c r="I63" i="3"/>
  <c r="H61" i="3"/>
  <c r="I61" i="3" s="1"/>
  <c r="H60" i="3"/>
  <c r="I60" i="3" s="1"/>
  <c r="H59" i="3"/>
  <c r="I59" i="3" s="1"/>
  <c r="H57" i="3"/>
  <c r="I57" i="3" s="1"/>
  <c r="H56" i="3"/>
  <c r="I56" i="3" s="1"/>
  <c r="H55" i="3"/>
  <c r="I55" i="3" s="1"/>
  <c r="H54" i="3"/>
  <c r="I54" i="3" s="1"/>
  <c r="H53" i="3"/>
  <c r="I53" i="3" s="1"/>
  <c r="H52" i="3"/>
  <c r="I52" i="3" s="1"/>
  <c r="H51" i="3"/>
  <c r="I51" i="3" s="1"/>
  <c r="H50" i="3"/>
  <c r="I50" i="3" s="1"/>
  <c r="H49" i="3"/>
  <c r="I49" i="3" s="1"/>
  <c r="H48" i="3"/>
  <c r="I48" i="3" s="1"/>
  <c r="H47" i="3"/>
  <c r="I47" i="3" s="1"/>
  <c r="H46" i="3"/>
  <c r="I46" i="3" s="1"/>
  <c r="H45" i="3"/>
  <c r="I45" i="3" s="1"/>
  <c r="H43" i="3"/>
  <c r="I43" i="3" s="1"/>
  <c r="H42" i="3"/>
  <c r="I42" i="3" s="1"/>
  <c r="H41" i="3"/>
  <c r="I41" i="3" s="1"/>
  <c r="H40" i="3"/>
  <c r="I40" i="3" s="1"/>
  <c r="H39" i="3"/>
  <c r="I39" i="3" s="1"/>
  <c r="H38" i="3"/>
  <c r="I38" i="3" s="1"/>
  <c r="H37" i="3"/>
  <c r="I37" i="3" s="1"/>
  <c r="H36" i="3"/>
  <c r="I36" i="3" s="1"/>
  <c r="H35" i="3"/>
  <c r="I35" i="3" s="1"/>
  <c r="H34" i="3"/>
  <c r="I34" i="3" s="1"/>
  <c r="H33" i="3"/>
  <c r="I33" i="3" s="1"/>
  <c r="H32" i="3"/>
  <c r="I32" i="3" s="1"/>
  <c r="H31" i="3"/>
  <c r="I31" i="3" s="1"/>
  <c r="H30" i="3"/>
  <c r="I30" i="3" s="1"/>
  <c r="H29" i="3"/>
  <c r="I29" i="3" s="1"/>
  <c r="H28" i="3"/>
  <c r="I28" i="3" s="1"/>
  <c r="H27" i="3"/>
  <c r="I27" i="3" s="1"/>
  <c r="H26" i="3"/>
  <c r="I26" i="3" s="1"/>
  <c r="H25" i="3"/>
  <c r="I25" i="3" s="1"/>
  <c r="H24" i="3"/>
  <c r="I24" i="3" s="1"/>
  <c r="H23" i="3"/>
  <c r="I23" i="3" s="1"/>
  <c r="H22" i="3"/>
  <c r="I22" i="3" s="1"/>
  <c r="H21" i="3"/>
  <c r="I21" i="3" s="1"/>
  <c r="H20" i="3"/>
  <c r="I20" i="3" s="1"/>
  <c r="H19" i="3"/>
  <c r="I19" i="3" s="1"/>
  <c r="H18" i="3"/>
  <c r="I18" i="3" s="1"/>
  <c r="H17" i="3"/>
  <c r="I17" i="3" s="1"/>
  <c r="H16" i="3"/>
  <c r="I16" i="3" s="1"/>
  <c r="H15" i="3"/>
  <c r="I15" i="3" s="1"/>
  <c r="H14" i="3"/>
  <c r="I14" i="3" s="1"/>
  <c r="H13" i="3"/>
  <c r="I13" i="3" s="1"/>
  <c r="H12" i="3"/>
  <c r="I12" i="3" s="1"/>
  <c r="H11" i="3"/>
  <c r="I11" i="3" s="1"/>
  <c r="H10" i="3"/>
  <c r="I10" i="3" s="1"/>
  <c r="H118" i="1" l="1"/>
  <c r="I118" i="1" s="1"/>
  <c r="F221" i="2" l="1"/>
  <c r="G221" i="2" s="1"/>
  <c r="F220" i="2"/>
  <c r="G220" i="2" s="1"/>
  <c r="F219" i="2"/>
  <c r="G219" i="2" s="1"/>
  <c r="F218" i="2"/>
  <c r="G218" i="2" s="1"/>
  <c r="F217" i="2"/>
  <c r="G217" i="2" s="1"/>
  <c r="F216" i="2"/>
  <c r="G216" i="2" s="1"/>
  <c r="F215" i="2"/>
  <c r="G215" i="2" s="1"/>
  <c r="F214" i="2"/>
  <c r="G214" i="2" s="1"/>
  <c r="F213" i="2"/>
  <c r="G213" i="2" s="1"/>
  <c r="F212" i="2"/>
  <c r="G212" i="2" s="1"/>
  <c r="F211" i="2"/>
  <c r="G211" i="2" s="1"/>
  <c r="F210" i="2"/>
  <c r="G210" i="2" s="1"/>
  <c r="F209" i="2"/>
  <c r="G209" i="2" s="1"/>
  <c r="F208" i="2"/>
  <c r="G208" i="2" s="1"/>
  <c r="F207" i="2"/>
  <c r="G207" i="2" s="1"/>
  <c r="F206" i="2"/>
  <c r="G206" i="2" s="1"/>
  <c r="F205" i="2"/>
  <c r="G205" i="2" s="1"/>
  <c r="F204" i="2"/>
  <c r="G204" i="2" s="1"/>
  <c r="F203" i="2"/>
  <c r="G203" i="2" s="1"/>
  <c r="F202" i="2"/>
  <c r="G202" i="2" s="1"/>
  <c r="F201" i="2"/>
  <c r="G201" i="2" s="1"/>
  <c r="F200" i="2"/>
  <c r="G200" i="2" s="1"/>
  <c r="F199" i="2"/>
  <c r="G199" i="2" s="1"/>
  <c r="F198" i="2"/>
  <c r="G198" i="2" s="1"/>
  <c r="F197" i="2"/>
  <c r="G197" i="2" s="1"/>
  <c r="F196" i="2"/>
  <c r="G196" i="2" s="1"/>
  <c r="F195" i="2"/>
  <c r="G195" i="2" s="1"/>
  <c r="F194" i="2"/>
  <c r="G194" i="2" s="1"/>
  <c r="F193" i="2"/>
  <c r="G193" i="2" s="1"/>
  <c r="F192" i="2"/>
  <c r="G192" i="2" s="1"/>
  <c r="F191" i="2"/>
  <c r="G191" i="2" s="1"/>
  <c r="F190" i="2"/>
  <c r="G190" i="2" s="1"/>
  <c r="F189" i="2"/>
  <c r="G189" i="2" s="1"/>
  <c r="F188" i="2"/>
  <c r="G188" i="2" s="1"/>
  <c r="F187" i="2"/>
  <c r="G187" i="2" s="1"/>
  <c r="F186" i="2"/>
  <c r="G186" i="2" s="1"/>
  <c r="F185" i="2"/>
  <c r="G185" i="2" s="1"/>
  <c r="F184" i="2"/>
  <c r="G184" i="2" s="1"/>
  <c r="F183" i="2"/>
  <c r="G183" i="2" s="1"/>
  <c r="F182" i="2"/>
  <c r="G182" i="2" s="1"/>
  <c r="F181" i="2"/>
  <c r="G181" i="2" s="1"/>
  <c r="F180" i="2"/>
  <c r="G180" i="2" s="1"/>
  <c r="F179" i="2"/>
  <c r="G179" i="2" s="1"/>
  <c r="F178" i="2"/>
  <c r="G178" i="2" s="1"/>
  <c r="F177" i="2"/>
  <c r="G177" i="2" s="1"/>
  <c r="F176" i="2"/>
  <c r="G176" i="2" s="1"/>
  <c r="F175" i="2"/>
  <c r="G175" i="2" s="1"/>
  <c r="F174" i="2"/>
  <c r="G174" i="2" s="1"/>
  <c r="F173" i="2"/>
  <c r="G173" i="2" s="1"/>
  <c r="F172" i="2"/>
  <c r="G172" i="2" s="1"/>
  <c r="F170" i="2"/>
  <c r="G170" i="2" s="1"/>
  <c r="F169" i="2"/>
  <c r="G169" i="2" s="1"/>
  <c r="F168" i="2"/>
  <c r="G168" i="2" s="1"/>
  <c r="F167" i="2"/>
  <c r="G167" i="2" s="1"/>
  <c r="F166" i="2"/>
  <c r="G166" i="2" s="1"/>
  <c r="F165" i="2"/>
  <c r="G165" i="2" s="1"/>
  <c r="F164" i="2"/>
  <c r="G164" i="2" s="1"/>
  <c r="F163" i="2"/>
  <c r="G163" i="2" s="1"/>
  <c r="F162" i="2"/>
  <c r="G162" i="2" s="1"/>
  <c r="F161" i="2"/>
  <c r="G161" i="2" s="1"/>
  <c r="F160" i="2"/>
  <c r="G160" i="2" s="1"/>
  <c r="F158" i="2"/>
  <c r="G158" i="2" s="1"/>
  <c r="F157" i="2"/>
  <c r="G157" i="2" s="1"/>
  <c r="F156" i="2"/>
  <c r="G156" i="2" s="1"/>
  <c r="F155" i="2"/>
  <c r="G155" i="2" s="1"/>
  <c r="F154" i="2"/>
  <c r="G154" i="2" s="1"/>
  <c r="F153" i="2"/>
  <c r="G153" i="2" s="1"/>
  <c r="F151" i="2"/>
  <c r="G151" i="2" s="1"/>
  <c r="F150" i="2"/>
  <c r="G150" i="2" s="1"/>
  <c r="F149" i="2"/>
  <c r="G149" i="2" s="1"/>
  <c r="F148" i="2"/>
  <c r="G148" i="2" s="1"/>
  <c r="F147" i="2"/>
  <c r="G147" i="2" s="1"/>
  <c r="F146" i="2"/>
  <c r="G146" i="2" s="1"/>
  <c r="F145" i="2"/>
  <c r="G145" i="2" s="1"/>
  <c r="F144" i="2"/>
  <c r="G144" i="2" s="1"/>
  <c r="F143" i="2"/>
  <c r="G143" i="2" s="1"/>
  <c r="F142" i="2"/>
  <c r="G142" i="2" s="1"/>
  <c r="F141" i="2"/>
  <c r="G141" i="2" s="1"/>
  <c r="F140" i="2"/>
  <c r="G140" i="2" s="1"/>
  <c r="F139" i="2"/>
  <c r="G139" i="2" s="1"/>
  <c r="F138" i="2"/>
  <c r="G138" i="2" s="1"/>
  <c r="F137" i="2"/>
  <c r="G137" i="2" s="1"/>
  <c r="F135" i="2"/>
  <c r="G135" i="2" s="1"/>
  <c r="F134" i="2"/>
  <c r="G134" i="2" s="1"/>
  <c r="F133" i="2"/>
  <c r="G133" i="2" s="1"/>
  <c r="F132" i="2"/>
  <c r="G132" i="2" s="1"/>
  <c r="F131" i="2"/>
  <c r="G131" i="2" s="1"/>
  <c r="F129" i="2"/>
  <c r="G129" i="2" s="1"/>
  <c r="F128" i="2"/>
  <c r="G128" i="2" s="1"/>
  <c r="F127" i="2"/>
  <c r="G127" i="2" s="1"/>
  <c r="F126" i="2"/>
  <c r="G126" i="2" s="1"/>
  <c r="F125" i="2"/>
  <c r="G125" i="2" s="1"/>
  <c r="F124" i="2"/>
  <c r="G124" i="2" s="1"/>
  <c r="F123" i="2"/>
  <c r="G123" i="2" s="1"/>
  <c r="F122" i="2"/>
  <c r="G122" i="2" s="1"/>
  <c r="F121" i="2"/>
  <c r="G121" i="2" s="1"/>
  <c r="F120" i="2"/>
  <c r="G120" i="2" s="1"/>
  <c r="F119" i="2"/>
  <c r="G119" i="2" s="1"/>
  <c r="F118" i="2"/>
  <c r="G118" i="2" s="1"/>
  <c r="F117" i="2"/>
  <c r="G117" i="2" s="1"/>
  <c r="F116" i="2"/>
  <c r="G116" i="2" s="1"/>
  <c r="F114" i="2"/>
  <c r="G114" i="2" s="1"/>
  <c r="F113" i="2"/>
  <c r="G113" i="2" s="1"/>
  <c r="F112" i="2"/>
  <c r="G112" i="2" s="1"/>
  <c r="F111" i="2"/>
  <c r="G111" i="2" s="1"/>
  <c r="F110" i="2"/>
  <c r="G110" i="2" s="1"/>
  <c r="F109" i="2"/>
  <c r="G109" i="2" s="1"/>
  <c r="F108" i="2"/>
  <c r="G108" i="2" s="1"/>
  <c r="F107" i="2"/>
  <c r="G107" i="2" s="1"/>
  <c r="F106" i="2"/>
  <c r="G106" i="2" s="1"/>
  <c r="F105" i="2"/>
  <c r="G105" i="2" s="1"/>
  <c r="F104" i="2"/>
  <c r="G104" i="2" s="1"/>
  <c r="F103" i="2"/>
  <c r="G103" i="2" s="1"/>
  <c r="F102" i="2"/>
  <c r="G102" i="2" s="1"/>
  <c r="F101" i="2"/>
  <c r="G101" i="2" s="1"/>
  <c r="F100" i="2"/>
  <c r="G100" i="2" s="1"/>
  <c r="F99" i="2"/>
  <c r="G99" i="2" s="1"/>
  <c r="F98" i="2"/>
  <c r="G98" i="2" s="1"/>
  <c r="F97" i="2"/>
  <c r="G97" i="2" s="1"/>
  <c r="F96" i="2"/>
  <c r="G96" i="2" s="1"/>
  <c r="F95" i="2"/>
  <c r="G95" i="2" s="1"/>
  <c r="F94" i="2"/>
  <c r="G94" i="2" s="1"/>
  <c r="F93" i="2"/>
  <c r="G93" i="2" s="1"/>
  <c r="F92" i="2"/>
  <c r="G92" i="2" s="1"/>
  <c r="F91" i="2"/>
  <c r="G91" i="2" s="1"/>
  <c r="F90" i="2"/>
  <c r="G90" i="2" s="1"/>
  <c r="F89" i="2"/>
  <c r="G89" i="2" s="1"/>
  <c r="F88" i="2"/>
  <c r="G88" i="2" s="1"/>
  <c r="F87" i="2"/>
  <c r="G87" i="2" s="1"/>
  <c r="F86" i="2"/>
  <c r="G86" i="2" s="1"/>
  <c r="F85" i="2"/>
  <c r="G85" i="2" s="1"/>
  <c r="F84" i="2"/>
  <c r="G84" i="2" s="1"/>
  <c r="F82" i="2"/>
  <c r="G82" i="2" s="1"/>
  <c r="F81" i="2"/>
  <c r="G81" i="2" s="1"/>
  <c r="F80" i="2"/>
  <c r="G80" i="2" s="1"/>
  <c r="F79" i="2"/>
  <c r="G79" i="2" s="1"/>
  <c r="F78" i="2"/>
  <c r="G78" i="2" s="1"/>
  <c r="F76" i="2"/>
  <c r="G76" i="2" s="1"/>
  <c r="F75" i="2"/>
  <c r="G75" i="2" s="1"/>
  <c r="F74" i="2"/>
  <c r="G74" i="2" s="1"/>
  <c r="F73" i="2"/>
  <c r="G73" i="2" s="1"/>
  <c r="F72" i="2"/>
  <c r="G72" i="2" s="1"/>
  <c r="F71" i="2"/>
  <c r="G71" i="2" s="1"/>
  <c r="F70" i="2"/>
  <c r="G70" i="2" s="1"/>
  <c r="F69" i="2"/>
  <c r="G69" i="2" s="1"/>
  <c r="F68" i="2"/>
  <c r="G68" i="2" s="1"/>
  <c r="F67" i="2"/>
  <c r="G67" i="2" s="1"/>
  <c r="F66" i="2"/>
  <c r="G66" i="2" s="1"/>
  <c r="F65" i="2"/>
  <c r="G65" i="2" s="1"/>
  <c r="F64" i="2"/>
  <c r="G64" i="2" s="1"/>
  <c r="F63" i="2"/>
  <c r="G63" i="2" s="1"/>
  <c r="F61" i="2"/>
  <c r="G61" i="2" s="1"/>
  <c r="F60" i="2"/>
  <c r="G60" i="2" s="1"/>
  <c r="F59" i="2"/>
  <c r="G59" i="2" s="1"/>
  <c r="F57" i="2"/>
  <c r="G57" i="2" s="1"/>
  <c r="F56" i="2"/>
  <c r="G56" i="2" s="1"/>
  <c r="F55" i="2"/>
  <c r="G55" i="2" s="1"/>
  <c r="F54" i="2"/>
  <c r="G54" i="2" s="1"/>
  <c r="F53" i="2"/>
  <c r="G53" i="2" s="1"/>
  <c r="F52" i="2"/>
  <c r="G52" i="2" s="1"/>
  <c r="F51" i="2"/>
  <c r="G51" i="2" s="1"/>
  <c r="F50" i="2"/>
  <c r="G50" i="2" s="1"/>
  <c r="F49" i="2"/>
  <c r="G49" i="2" s="1"/>
  <c r="F48" i="2"/>
  <c r="G48" i="2" s="1"/>
  <c r="F47" i="2"/>
  <c r="G47" i="2" s="1"/>
  <c r="F46" i="2"/>
  <c r="G46" i="2" s="1"/>
  <c r="F45" i="2"/>
  <c r="G45" i="2" s="1"/>
  <c r="F44" i="2"/>
  <c r="G44" i="2" s="1"/>
  <c r="F43" i="2"/>
  <c r="G43" i="2" s="1"/>
  <c r="F42" i="2"/>
  <c r="G42" i="2" s="1"/>
  <c r="F41" i="2"/>
  <c r="G41" i="2" s="1"/>
  <c r="F40" i="2"/>
  <c r="G40" i="2" s="1"/>
  <c r="F39" i="2"/>
  <c r="G39" i="2" s="1"/>
  <c r="F38" i="2"/>
  <c r="G38" i="2" s="1"/>
  <c r="F37" i="2"/>
  <c r="G37" i="2" s="1"/>
  <c r="F36" i="2"/>
  <c r="G36" i="2" s="1"/>
  <c r="F35" i="2"/>
  <c r="G35" i="2" s="1"/>
  <c r="F34" i="2"/>
  <c r="G34" i="2" s="1"/>
  <c r="F33" i="2"/>
  <c r="G33" i="2" s="1"/>
  <c r="F32" i="2"/>
  <c r="G32" i="2" s="1"/>
  <c r="F31" i="2"/>
  <c r="G31" i="2" s="1"/>
  <c r="F30" i="2"/>
  <c r="G30" i="2" s="1"/>
  <c r="F29" i="2"/>
  <c r="G29" i="2" s="1"/>
  <c r="F28" i="2"/>
  <c r="G28" i="2" s="1"/>
  <c r="F27" i="2"/>
  <c r="G27" i="2" s="1"/>
  <c r="F26" i="2"/>
  <c r="G26" i="2" s="1"/>
  <c r="F25" i="2"/>
  <c r="G25" i="2" s="1"/>
  <c r="F24" i="2"/>
  <c r="G24" i="2" s="1"/>
  <c r="F23" i="2"/>
  <c r="G23" i="2" s="1"/>
  <c r="F22" i="2"/>
  <c r="G22" i="2" s="1"/>
  <c r="F21" i="2"/>
  <c r="G21" i="2" s="1"/>
  <c r="F20" i="2"/>
  <c r="G20" i="2" s="1"/>
  <c r="F19" i="2"/>
  <c r="G19" i="2" s="1"/>
  <c r="F18" i="2"/>
  <c r="G18" i="2" s="1"/>
  <c r="F17" i="2"/>
  <c r="G17" i="2" s="1"/>
  <c r="F16" i="2"/>
  <c r="G16" i="2" s="1"/>
  <c r="F15" i="2"/>
  <c r="G15" i="2" s="1"/>
  <c r="F14" i="2"/>
  <c r="G14" i="2" s="1"/>
  <c r="F13" i="2"/>
  <c r="G13" i="2" s="1"/>
  <c r="F12" i="2"/>
  <c r="G12" i="2" s="1"/>
  <c r="F11" i="2"/>
  <c r="G11" i="2" s="1"/>
  <c r="G10" i="2"/>
  <c r="H154" i="1" l="1"/>
  <c r="I154" i="1" s="1"/>
  <c r="H68" i="1"/>
  <c r="H67" i="1"/>
  <c r="H65" i="1"/>
  <c r="H63" i="1"/>
  <c r="H44" i="1"/>
  <c r="I44" i="1" s="1"/>
  <c r="H160" i="1"/>
  <c r="I160" i="1" s="1"/>
  <c r="H159" i="1"/>
  <c r="I159" i="1" s="1"/>
  <c r="H220" i="1"/>
  <c r="H211" i="1"/>
  <c r="I211" i="1" s="1"/>
  <c r="H155" i="1"/>
  <c r="I155" i="1" s="1"/>
  <c r="H169" i="1" l="1"/>
  <c r="I169" i="1" s="1"/>
  <c r="H210" i="1"/>
  <c r="I210" i="1" s="1"/>
  <c r="H143" i="1"/>
  <c r="I143" i="1" s="1"/>
  <c r="H219" i="1"/>
  <c r="H218" i="1"/>
  <c r="H217" i="1"/>
  <c r="H216" i="1"/>
  <c r="H215" i="1"/>
  <c r="H212" i="1" l="1"/>
  <c r="I212" i="1" s="1"/>
  <c r="H168" i="1" l="1"/>
  <c r="H179" i="1"/>
  <c r="I179" i="1" s="1"/>
  <c r="H178" i="1"/>
  <c r="I178" i="1" s="1"/>
  <c r="H177" i="1"/>
  <c r="I177" i="1" s="1"/>
  <c r="H176" i="1"/>
  <c r="I176" i="1" s="1"/>
  <c r="H175" i="1" l="1"/>
  <c r="H174" i="1"/>
  <c r="H166" i="1"/>
  <c r="I166" i="1" s="1"/>
  <c r="H165" i="1"/>
  <c r="I165" i="1" s="1"/>
  <c r="H164" i="1"/>
  <c r="I164" i="1" s="1"/>
  <c r="H163" i="1"/>
  <c r="H162" i="1" l="1"/>
  <c r="I162" i="1" s="1"/>
  <c r="H142" i="1"/>
  <c r="I142" i="1" s="1"/>
  <c r="H161" i="1"/>
  <c r="H152" i="1"/>
  <c r="I152" i="1" s="1"/>
  <c r="H153" i="1"/>
  <c r="H173" i="1"/>
  <c r="H172" i="1" l="1"/>
  <c r="I172" i="1" s="1"/>
  <c r="H171" i="1" l="1"/>
  <c r="I171" i="1" s="1"/>
  <c r="I175" i="1"/>
  <c r="I174" i="1"/>
  <c r="I173" i="1"/>
  <c r="H167" i="1" l="1"/>
  <c r="I167" i="1" s="1"/>
  <c r="H156" i="1"/>
  <c r="I156" i="1" s="1"/>
  <c r="H157" i="1"/>
  <c r="I157" i="1" s="1"/>
  <c r="I153" i="1" l="1"/>
  <c r="H149" i="1"/>
  <c r="H214" i="1"/>
  <c r="I214" i="1" s="1"/>
  <c r="I215" i="1"/>
  <c r="I216" i="1"/>
  <c r="I217" i="1"/>
  <c r="I218" i="1"/>
  <c r="I219" i="1"/>
  <c r="I220" i="1"/>
  <c r="H150" i="1"/>
  <c r="I150" i="1" s="1"/>
  <c r="H213" i="1"/>
  <c r="I168" i="1"/>
  <c r="I163" i="1"/>
  <c r="I161" i="1"/>
  <c r="I149" i="1"/>
  <c r="H73" i="1"/>
  <c r="I73" i="1" s="1"/>
  <c r="H209" i="1" l="1"/>
  <c r="H208" i="1"/>
  <c r="H207" i="1"/>
  <c r="H206" i="1"/>
  <c r="H205" i="1" l="1"/>
  <c r="I205" i="1" s="1"/>
  <c r="H204" i="1"/>
  <c r="H203" i="1"/>
  <c r="I203" i="1" s="1"/>
  <c r="I204" i="1"/>
  <c r="H202" i="1"/>
  <c r="I202" i="1" s="1"/>
  <c r="H201" i="1"/>
  <c r="I201" i="1" s="1"/>
  <c r="H200" i="1"/>
  <c r="I200" i="1" s="1"/>
  <c r="H199" i="1"/>
  <c r="I199" i="1" s="1"/>
  <c r="H198" i="1"/>
  <c r="I198" i="1" s="1"/>
  <c r="H197" i="1"/>
  <c r="H196" i="1"/>
  <c r="I196" i="1" s="1"/>
  <c r="I206" i="1"/>
  <c r="I207" i="1"/>
  <c r="I208" i="1"/>
  <c r="I209" i="1"/>
  <c r="I213" i="1"/>
  <c r="H195" i="1" l="1"/>
  <c r="H192" i="1"/>
  <c r="I197" i="1"/>
  <c r="H194" i="1"/>
  <c r="H193" i="1"/>
  <c r="I193" i="1" s="1"/>
  <c r="H191" i="1"/>
  <c r="I191" i="1" s="1"/>
  <c r="H190" i="1"/>
  <c r="H189" i="1"/>
  <c r="I189" i="1" s="1"/>
  <c r="H188" i="1"/>
  <c r="H187" i="1"/>
  <c r="H186" i="1"/>
  <c r="I186" i="1" s="1"/>
  <c r="H185" i="1"/>
  <c r="H184" i="1"/>
  <c r="H183" i="1"/>
  <c r="H182" i="1"/>
  <c r="H181" i="1"/>
  <c r="I181" i="1" l="1"/>
  <c r="I182" i="1"/>
  <c r="I183" i="1"/>
  <c r="I184" i="1"/>
  <c r="I185" i="1"/>
  <c r="I187" i="1"/>
  <c r="I188" i="1"/>
  <c r="I190" i="1"/>
  <c r="I192" i="1"/>
  <c r="I194" i="1"/>
  <c r="I195" i="1"/>
  <c r="H148" i="1" l="1"/>
  <c r="I148" i="1" s="1"/>
  <c r="H147" i="1"/>
  <c r="H146" i="1"/>
  <c r="I146" i="1" s="1"/>
  <c r="H145" i="1" l="1"/>
  <c r="I145" i="1" s="1"/>
  <c r="I147" i="1"/>
  <c r="H180" i="1"/>
  <c r="I180" i="1" s="1"/>
  <c r="H141" i="1"/>
  <c r="I141" i="1" s="1"/>
  <c r="H144" i="1"/>
  <c r="I144" i="1" s="1"/>
  <c r="H140" i="1"/>
  <c r="I140" i="1" s="1"/>
  <c r="H139" i="1"/>
  <c r="I139" i="1" s="1"/>
  <c r="H138" i="1" l="1"/>
  <c r="H137" i="1"/>
  <c r="H136" i="1"/>
  <c r="H134" i="1"/>
  <c r="I134" i="1" s="1"/>
  <c r="H133" i="1"/>
  <c r="I133" i="1" s="1"/>
  <c r="H132" i="1"/>
  <c r="I132" i="1" s="1"/>
  <c r="I136" i="1"/>
  <c r="I137" i="1"/>
  <c r="I138" i="1"/>
  <c r="H131" i="1"/>
  <c r="I131" i="1" s="1"/>
  <c r="H130" i="1"/>
  <c r="I130" i="1" s="1"/>
  <c r="H128" i="1"/>
  <c r="I128" i="1" s="1"/>
  <c r="H127" i="1"/>
  <c r="I127" i="1" s="1"/>
  <c r="H126" i="1"/>
  <c r="I126" i="1" s="1"/>
  <c r="H125" i="1" l="1"/>
  <c r="I125" i="1" s="1"/>
  <c r="H124" i="1"/>
  <c r="I124" i="1" s="1"/>
  <c r="H123" i="1"/>
  <c r="I123" i="1" s="1"/>
  <c r="H122" i="1"/>
  <c r="I122" i="1" s="1"/>
  <c r="H117" i="1" l="1"/>
  <c r="I117" i="1" s="1"/>
  <c r="H115" i="1" l="1"/>
  <c r="I115" i="1" l="1"/>
  <c r="H116" i="1"/>
  <c r="I116" i="1" s="1"/>
  <c r="H121" i="1"/>
  <c r="I121" i="1" s="1"/>
  <c r="H120" i="1"/>
  <c r="I120" i="1" s="1"/>
  <c r="H119" i="1"/>
  <c r="I119" i="1" s="1"/>
  <c r="H82" i="1" l="1"/>
  <c r="I82" i="1" s="1"/>
  <c r="H79" i="1"/>
  <c r="H78" i="1"/>
  <c r="H77" i="1"/>
  <c r="I77" i="1" s="1"/>
  <c r="H57" i="1"/>
  <c r="I57" i="1" s="1"/>
  <c r="H56" i="1"/>
  <c r="I56" i="1" s="1"/>
  <c r="H75" i="1"/>
  <c r="H72" i="1" l="1"/>
  <c r="I72" i="1" s="1"/>
  <c r="H74" i="1"/>
  <c r="I74" i="1" s="1"/>
  <c r="H71" i="1" l="1"/>
  <c r="I71" i="1" s="1"/>
  <c r="I67" i="1"/>
  <c r="I68" i="1"/>
  <c r="H70" i="1"/>
  <c r="I70" i="1" s="1"/>
  <c r="H69" i="1"/>
  <c r="I69" i="1" s="1"/>
  <c r="H66" i="1"/>
  <c r="I66" i="1" s="1"/>
  <c r="I65" i="1"/>
  <c r="H64" i="1"/>
  <c r="I64" i="1" s="1"/>
  <c r="I63" i="1"/>
  <c r="H81" i="1"/>
  <c r="I81" i="1" s="1"/>
  <c r="H80" i="1"/>
  <c r="I80" i="1" s="1"/>
  <c r="I79" i="1"/>
  <c r="I78" i="1"/>
  <c r="I75" i="1"/>
  <c r="H113" i="1" l="1"/>
  <c r="H112" i="1"/>
  <c r="H110" i="1"/>
  <c r="H108" i="1"/>
  <c r="H107" i="1"/>
  <c r="H106" i="1"/>
  <c r="H105" i="1"/>
  <c r="H104" i="1"/>
  <c r="H61" i="1"/>
  <c r="I61" i="1" s="1"/>
  <c r="H60" i="1"/>
  <c r="I60" i="1" s="1"/>
  <c r="H59" i="1"/>
  <c r="I59" i="1" s="1"/>
  <c r="H102" i="1"/>
  <c r="H101" i="1"/>
  <c r="H100" i="1"/>
  <c r="I100" i="1" s="1"/>
  <c r="H99" i="1"/>
  <c r="I99" i="1" s="1"/>
  <c r="H98" i="1"/>
  <c r="I98" i="1" s="1"/>
  <c r="H97" i="1"/>
  <c r="H96" i="1"/>
  <c r="H95" i="1" l="1"/>
  <c r="I95" i="1" s="1"/>
  <c r="H94" i="1"/>
  <c r="H93" i="1" l="1"/>
  <c r="H92" i="1"/>
  <c r="H91" i="1"/>
  <c r="H90" i="1"/>
  <c r="H89" i="1" l="1"/>
  <c r="H88" i="1"/>
  <c r="H87" i="1"/>
  <c r="H86" i="1"/>
  <c r="H85" i="1"/>
  <c r="H84" i="1" l="1"/>
  <c r="I84" i="1" s="1"/>
  <c r="I85" i="1"/>
  <c r="I86" i="1"/>
  <c r="I87" i="1"/>
  <c r="I88" i="1"/>
  <c r="I89" i="1"/>
  <c r="I90" i="1"/>
  <c r="I91" i="1"/>
  <c r="I92" i="1"/>
  <c r="I93" i="1"/>
  <c r="I94" i="1"/>
  <c r="I96" i="1"/>
  <c r="I97" i="1"/>
  <c r="I101" i="1"/>
  <c r="I102" i="1"/>
  <c r="H103" i="1"/>
  <c r="I103" i="1" s="1"/>
  <c r="I104" i="1"/>
  <c r="I105" i="1"/>
  <c r="I106" i="1"/>
  <c r="I107" i="1"/>
  <c r="I108" i="1"/>
  <c r="H109" i="1"/>
  <c r="I109" i="1" s="1"/>
  <c r="I110" i="1"/>
  <c r="H111" i="1"/>
  <c r="I111" i="1" s="1"/>
  <c r="I112" i="1"/>
  <c r="I113" i="1"/>
  <c r="H83" i="1"/>
  <c r="H55" i="1" l="1"/>
  <c r="H54" i="1"/>
  <c r="H53" i="1"/>
  <c r="H52" i="1"/>
  <c r="H51" i="1"/>
  <c r="H50" i="1"/>
  <c r="H49" i="1" l="1"/>
  <c r="H48" i="1" l="1"/>
  <c r="I48" i="1" s="1"/>
  <c r="H47" i="1"/>
  <c r="I47" i="1" s="1"/>
  <c r="H46" i="1"/>
  <c r="I46" i="1" s="1"/>
  <c r="H45" i="1"/>
  <c r="I45" i="1" s="1"/>
  <c r="H43" i="1"/>
  <c r="I43" i="1" s="1"/>
  <c r="I49" i="1"/>
  <c r="I50" i="1"/>
  <c r="I51" i="1"/>
  <c r="I52" i="1"/>
  <c r="I53" i="1"/>
  <c r="I54" i="1"/>
  <c r="I55" i="1"/>
  <c r="I83" i="1"/>
  <c r="H42" i="1"/>
  <c r="I42" i="1" s="1"/>
  <c r="H41" i="1"/>
  <c r="I41" i="1" s="1"/>
  <c r="H40" i="1"/>
  <c r="I40" i="1" s="1"/>
  <c r="H38" i="1"/>
  <c r="I38" i="1" s="1"/>
  <c r="H39" i="1"/>
  <c r="I39" i="1" s="1"/>
  <c r="H33" i="1"/>
  <c r="I33" i="1" s="1"/>
  <c r="H37" i="1"/>
  <c r="I37" i="1" s="1"/>
  <c r="H36" i="1"/>
  <c r="I36" i="1" s="1"/>
  <c r="H35" i="1"/>
  <c r="H32" i="1" l="1"/>
  <c r="H31" i="1"/>
  <c r="I31" i="1" s="1"/>
  <c r="H30" i="1"/>
  <c r="I30" i="1" s="1"/>
  <c r="H29" i="1"/>
  <c r="I29" i="1" s="1"/>
  <c r="H28" i="1"/>
  <c r="I28" i="1" s="1"/>
  <c r="H27" i="1"/>
  <c r="H26" i="1"/>
  <c r="H25" i="1"/>
  <c r="I32" i="1"/>
  <c r="H34" i="1"/>
  <c r="I34" i="1" s="1"/>
  <c r="I35" i="1"/>
  <c r="H24" i="1"/>
  <c r="H23" i="1"/>
  <c r="H22" i="1" l="1"/>
  <c r="I25" i="1" l="1"/>
  <c r="I24" i="1"/>
  <c r="I23" i="1"/>
  <c r="I22" i="1"/>
  <c r="I26" i="1"/>
  <c r="I27" i="1"/>
  <c r="H21" i="1" l="1"/>
  <c r="I21" i="1" s="1"/>
  <c r="H20" i="1" l="1"/>
  <c r="I20" i="1" s="1"/>
  <c r="H19" i="1"/>
  <c r="I19" i="1" s="1"/>
  <c r="H18" i="1"/>
  <c r="I18" i="1" s="1"/>
  <c r="H17" i="1"/>
  <c r="I17" i="1" s="1"/>
  <c r="H10" i="1"/>
  <c r="I10" i="1" s="1"/>
  <c r="H16" i="1"/>
  <c r="I16" i="1" s="1"/>
  <c r="H11" i="1"/>
  <c r="I11" i="1" s="1"/>
  <c r="H15" i="1"/>
  <c r="I15" i="1" s="1"/>
  <c r="H14" i="1" l="1"/>
  <c r="I14" i="1" s="1"/>
  <c r="H13" i="1"/>
  <c r="I13" i="1" s="1"/>
  <c r="H12" i="1"/>
  <c r="I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Любовь А. Танина-Шахова</author>
  </authors>
  <commentList>
    <comment ref="J357" authorId="0" shapeId="0" xr:uid="{00000000-0006-0000-0400-000001000000}">
      <text>
        <r>
          <rPr>
            <b/>
            <sz val="9"/>
            <color indexed="81"/>
            <rFont val="Tahoma"/>
            <family val="2"/>
            <charset val="204"/>
          </rPr>
          <t>Любовь А. Танина-Шахова:</t>
        </r>
        <r>
          <rPr>
            <sz val="9"/>
            <color indexed="81"/>
            <rFont val="Tahoma"/>
            <family val="2"/>
            <charset val="204"/>
          </rPr>
          <t xml:space="preserve">
на 01.04.2020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Любовь А. Танина-Шахова</author>
  </authors>
  <commentList>
    <comment ref="I514" authorId="0" shapeId="0" xr:uid="{00000000-0006-0000-0500-000001000000}">
      <text>
        <r>
          <rPr>
            <b/>
            <sz val="9"/>
            <color indexed="81"/>
            <rFont val="Tahoma"/>
            <family val="2"/>
            <charset val="204"/>
          </rPr>
          <t>Любовь А. Танина-Шахова:</t>
        </r>
        <r>
          <rPr>
            <sz val="9"/>
            <color indexed="81"/>
            <rFont val="Tahoma"/>
            <family val="2"/>
            <charset val="204"/>
          </rPr>
          <t xml:space="preserve">
на 01.04.2020
</t>
        </r>
      </text>
    </comment>
  </commentList>
</comments>
</file>

<file path=xl/sharedStrings.xml><?xml version="1.0" encoding="utf-8"?>
<sst xmlns="http://schemas.openxmlformats.org/spreadsheetml/2006/main" count="16997" uniqueCount="4839">
  <si>
    <t>Наименование и характеристика объекта, регион строительства объекта</t>
  </si>
  <si>
    <t>Период выполнения работ</t>
  </si>
  <si>
    <t>Дата начала</t>
  </si>
  <si>
    <t>общий (в случае генподряда)</t>
  </si>
  <si>
    <t>06.2013</t>
  </si>
  <si>
    <t>10.2013</t>
  </si>
  <si>
    <t>03.2010</t>
  </si>
  <si>
    <t>12.2013</t>
  </si>
  <si>
    <t>09.2011</t>
  </si>
  <si>
    <t>12.2014</t>
  </si>
  <si>
    <t>КГКУ «Дирекция по комплексному развитию Нижнего Приангарья» (КГКУ «ДКР НП»)
660017, г. Красноярск, ул. Урицкого, д. 123,                 тел. (391) 227-81-31 факс: (391)227-81-53 Генподрядчик: ООО «Инжиниринговый центр Энерго»   660049, г. Красноярск, ул. Дубровинского, д. 100  Тел.: (391) 266-07-34 
Директор Цинадзе Д.Р.        
Управляющий директор Шеховцев Г.В.</t>
  </si>
  <si>
    <t>12.2015</t>
  </si>
  <si>
    <t>03.2012</t>
  </si>
  <si>
    <t>08.2011</t>
  </si>
  <si>
    <t>09.2013</t>
  </si>
  <si>
    <t>10.2016</t>
  </si>
  <si>
    <t>10.2015</t>
  </si>
  <si>
    <t>08.2016</t>
  </si>
  <si>
    <t>04.2016</t>
  </si>
  <si>
    <t>09.2016</t>
  </si>
  <si>
    <t>05.2016</t>
  </si>
  <si>
    <t>02.2016</t>
  </si>
  <si>
    <t>06.2015</t>
  </si>
  <si>
    <t xml:space="preserve">Открытый пункт перехода 500кВ на строящейся Богучанской ГЭС с токопроводами связи 500кВ от комплектного распределительного устройства элегазового 500кВ до открытого пункта перехода 500кВ.   
</t>
  </si>
  <si>
    <t>02.2014</t>
  </si>
  <si>
    <t>03.2013</t>
  </si>
  <si>
    <t>Монтаж управляемого шунтирующего реактора РТУ-180000/500. Демонтаж старого оборудования и ошиновки 500кВ, 110кВ. Монтаж выключателей, разъединителей, трансформаторов тока и напряжения 500кВ. Изготовление и монтаж металлоконструкций  под оборудование 500, 110кВ, порталов 500кВ. Монтаж кабельных лотков и прокладка кабелей. Монтаж контура заземления ПС. Монтаж ошиновки ОРУ 500кВ.</t>
  </si>
  <si>
    <t>Монтаж кабельных линий XLPE 500 кВ сечением 1х2500 мм2  (производство SUEDKABEL, Германия). Изготовление и монтаж металлоконструкций для прокладки кабеля 500кВ. 
Пусконаладочные работы.</t>
  </si>
  <si>
    <t>ОАО «Иркутская электросетевая компания»
664033, г. Иркутск, ул. Лермонтова 257,
Тел: (3952) 792-459 
Факс: (3952) 792-461
Генеральный директор Б.Н. Каратаев
Восточные электрические сети
Директор филиала ВЭС Садохин А.И.                 664047, Иркутская область, г. Иркутск, ул. Депутатская, д.38
Тел./факс.: 8(395-2)794-859, 8(395-2) 794-811</t>
  </si>
  <si>
    <t xml:space="preserve">КРУЭ 500кВ </t>
  </si>
  <si>
    <t xml:space="preserve">КРУЭ 220кВ </t>
  </si>
  <si>
    <t>08.2009</t>
  </si>
  <si>
    <t>Монтаж  КРУЭ 500кВ (производство ABB, Швейцария). 
Пусконаладочные работы.</t>
  </si>
  <si>
    <t>в т.ч. собственными силами</t>
  </si>
  <si>
    <t>Монтаж комплектного распределительного устройства с элегазовой изоляцией КРУЭ 220 кВ (производство ABB, Швейцария). Пусконаладочные работы.</t>
  </si>
  <si>
    <t>07.2013</t>
  </si>
  <si>
    <t>01.2012</t>
  </si>
  <si>
    <t>01.2013</t>
  </si>
  <si>
    <t>Монтаж кабельных металлоконструкций и линий КРУЭ 220кВ</t>
  </si>
  <si>
    <t>Опыт выполнения работ</t>
  </si>
  <si>
    <t>Общества с ограниченной ответственностью «Братское монтажное управление Гидроэлектромонтаж»</t>
  </si>
  <si>
    <t xml:space="preserve"> 2011 по 2015 г.г.</t>
  </si>
  <si>
    <t>Дата окончания (для незавершенных работ процент выполнения)</t>
  </si>
  <si>
    <t>Объем СМР, тыс. руб. без НДС</t>
  </si>
  <si>
    <t xml:space="preserve">Виды работ, выполненные собственными силами и силами привлеченных субподрядных организаций </t>
  </si>
  <si>
    <t>Наличие отзыва</t>
  </si>
  <si>
    <t>03.2011</t>
  </si>
  <si>
    <t>Монтаж технологического и нестандартного технологического оборудования. Строительные (фундаменты компрессорной установки и воздухосборников) и электромонтажные работы.</t>
  </si>
  <si>
    <t>12.2011</t>
  </si>
  <si>
    <t>06.2012</t>
  </si>
  <si>
    <t>Ремонт кабельных концевых муфт 220 кВ</t>
  </si>
  <si>
    <t>05.2012</t>
  </si>
  <si>
    <t>12.2012</t>
  </si>
  <si>
    <t>Электромонтажные работы по модернизации устройств центральной сигнализации машинного зала здания  Братской ГЭС- 1 этап.</t>
  </si>
  <si>
    <t>09.2012</t>
  </si>
  <si>
    <t xml:space="preserve">Электромонтажные и пуско-наладочные работы по реконструкции электрооборудования крана козлового №2 г/п 150т.   </t>
  </si>
  <si>
    <t>10.2012</t>
  </si>
  <si>
    <t>Строительно-монтажные и пусконаладочные работы по реконструкции сети постоянного тока машинного зала здания ГЭС - 3 этап</t>
  </si>
  <si>
    <t>04.2014</t>
  </si>
  <si>
    <t>Вывозка рабочего колеса с МП-1 на центральный склад Братской ГЭС</t>
  </si>
  <si>
    <t>09.2014</t>
  </si>
  <si>
    <t>04.2015</t>
  </si>
  <si>
    <t>09.2015</t>
  </si>
  <si>
    <t>06.2016</t>
  </si>
  <si>
    <t>Аварийно-восстановительные работы по кабельным тоннелям, галереям и будкам ОРУ. Замена силового, контрольного, оптического, маслонаполненного кабелей.</t>
  </si>
  <si>
    <t>№ п/п</t>
  </si>
  <si>
    <t>1.1</t>
  </si>
  <si>
    <t>1.2</t>
  </si>
  <si>
    <t>1.3</t>
  </si>
  <si>
    <t>1.4</t>
  </si>
  <si>
    <t>1.5</t>
  </si>
  <si>
    <t>1.6</t>
  </si>
  <si>
    <t>1.7</t>
  </si>
  <si>
    <t>1.8</t>
  </si>
  <si>
    <t>1.9</t>
  </si>
  <si>
    <t>1.10</t>
  </si>
  <si>
    <t>1.11</t>
  </si>
  <si>
    <t>1.12</t>
  </si>
  <si>
    <t>07.2012</t>
  </si>
  <si>
    <t>Монтаж узлов пожаротушения пусковых комплексов №№ 7,12, 15, 17, 16.</t>
  </si>
  <si>
    <t>1.13</t>
  </si>
  <si>
    <t>ПАО «Иркутскэнерго»
664025, г. Иркутск, ул. Сухэ-Батора,3
Генеральный директор Причко О.Н. 
Филиал ПАО "Иркутскэнерго" Братская ГЭС
665709, г. Братск, а/я783
факс (3953)323 367, тел. 323 359
Директор филиала Вотенев  А.А.
Генподрядчик: ООО "ПО "Иркутскэнерго"
664043, г. Иркутск, бульвар Рябикова, 65
тел.(3952)790 076, 795 033
Директор Воробьев В.П.</t>
  </si>
  <si>
    <t>1.14</t>
  </si>
  <si>
    <t xml:space="preserve">ПАО «Иркутскэнерго»
664025, г. Иркутск, ул. Сухэ-Батора,3
Генеральный директор Причко О.Н. 
Филиал ПАО "Иркутскэнерго" Братская ГЭС
665709, г. Братск, а/я783
факс (3953)323 367, тел. 323 359
Директор филиала Вотенев  А.А.
Генподрядчик: ООО "НПФ "Ракурс"
198095, г. Санкт-Петербург, 
Химический пер.,  д.1 корп.2 
тел. (812)252 32 44, 252 64 79
Генеральный директор Чернигов Л.М.
</t>
  </si>
  <si>
    <t>08.2013</t>
  </si>
  <si>
    <t>Строительно-монтажные работы следующих комплексов: Терминал АРЧМ, ГРАРМ с верхним уровнем, ЭГР 16Г, ССМД 16Г с верхним уровнем.</t>
  </si>
  <si>
    <t>03.2014</t>
  </si>
  <si>
    <t>1.15</t>
  </si>
  <si>
    <t>1.16</t>
  </si>
  <si>
    <t>1.17</t>
  </si>
  <si>
    <t>1.18</t>
  </si>
  <si>
    <t>06.2014</t>
  </si>
  <si>
    <t>09.2016
(64%)</t>
  </si>
  <si>
    <t>07.2014</t>
  </si>
  <si>
    <t>07.2016
(97%)</t>
  </si>
  <si>
    <t>10.2014</t>
  </si>
  <si>
    <t>1.19</t>
  </si>
  <si>
    <t>1.20</t>
  </si>
  <si>
    <t>1.21</t>
  </si>
  <si>
    <t>1.22</t>
  </si>
  <si>
    <t>1.23</t>
  </si>
  <si>
    <t>02.2015</t>
  </si>
  <si>
    <t>07.2016 
(64%)</t>
  </si>
  <si>
    <t>05.2015</t>
  </si>
  <si>
    <t>07.2015</t>
  </si>
  <si>
    <t>Строительно-монтажные  и пусконаладочные работы следующих комплексов: ПТК ССМД 14Г с верхним уровнем</t>
  </si>
  <si>
    <t>12.2016 
(75%)</t>
  </si>
  <si>
    <t>11.2015</t>
  </si>
  <si>
    <t xml:space="preserve">Прокладка и измерение всех волоконно-оптических кабелей, их сварка, подключение и измерение.
</t>
  </si>
  <si>
    <t xml:space="preserve">Строительно-монтажные  и пусконаладочные работы следующих комплексов: Терминал АРЧМ, ГРАРМ с верхним уровнем, ЭГР 10Г, ССМД 10Г с верхним уровнем, ЭГР 12Г, ССМД 12Г с верхним уровнем, ЭГР 17Г, ССМД 17Г с верхним уровнем.
</t>
  </si>
  <si>
    <t xml:space="preserve">Строительно-монтажные  и пусконаладочные работы следующих комплексов: Терминал АРЧМ, ГРАРМ с верхним уровнем, ЭГР 3Г, ССМД 3Г с верхним уровнем, ЭГР 4Г, ССМД 4Г с верхним уровнем.
</t>
  </si>
  <si>
    <t xml:space="preserve">Строительно-монтажные  и пусконаладочные работы следующих комплексов: Терминал АРЧМ, ГРАРМ с верхним уровнем, ЭГР 1Г, ЭГР 2Г
</t>
  </si>
  <si>
    <t xml:space="preserve">Строительно-монтажные  и пусконаладочные работы следующих комплексов: Терминал АРЧМ, ГРАРМ с верхним уровнем, ЭГР 18Г
</t>
  </si>
  <si>
    <t xml:space="preserve">Строительно-монтажные  и пусконаладочные работы следующих комплексов: Терминал АРЧМ, ГРАРМ с верхним уровнем, ЭГР 7Г, ПТК ССМД 7Г с верхним уровнем, ЭГР 8Г, ССМД 8Г с верхним уровнем, ЭГР 9Г, ССМД 9Г с верхним уровнем.
</t>
  </si>
  <si>
    <t xml:space="preserve">Строительно-монтажные  и пусконаладочные работы следующих комплексов: Терминал АРЧМ, ГРАРМ с верхним уровнем, ЭГР 13Г, ПТК ССМД 13Г с верхним уровнем, ЭГР 15Г, ССМД 15Г с верхним уровнем, ССМД 18Г с верхним уровнем, ЭГР 14Г.
</t>
  </si>
  <si>
    <t xml:space="preserve">Строительно-монтажные  и пусконаладочные работы следующих комплексов:  ССМД 1Г с верхним уровнем
</t>
  </si>
  <si>
    <t xml:space="preserve">
1</t>
  </si>
  <si>
    <t xml:space="preserve">
ПАО «Иркутскэнерго»
664025, г. Иркутск, ул. Сухэ-Батора,3
Генеральный директор Причко О.Н. 
Филиал ПАО "Иркутскэнерго" Братская ГЭС
665709, г. Братск, а/я783
факс (3953)323 367, тел. 323 359
Директор филиала Вотенев  А.А.</t>
  </si>
  <si>
    <t>Комплексная система управления ГА для участия в АВРЧМ
г. Братск,  Иркутской области</t>
  </si>
  <si>
    <t>02.2011</t>
  </si>
  <si>
    <t>Электромонтажные работы по замене трансформатора тока напряжением 500 кВ</t>
  </si>
  <si>
    <t>Строительно-монтажные  работы по автоматизированной измерительной системе  контроля состояния гидротехнических сооружений бетонной плотины</t>
  </si>
  <si>
    <t>2.1</t>
  </si>
  <si>
    <t>2.2</t>
  </si>
  <si>
    <t>08.2012</t>
  </si>
  <si>
    <t>Строительно-монтажные  работы  (монтаж оборудования, демонтаж и монтаж кабельных связей).</t>
  </si>
  <si>
    <t>05.2011</t>
  </si>
  <si>
    <t>10.2011</t>
  </si>
  <si>
    <t>Ремонтные работы</t>
  </si>
  <si>
    <t>11.2012</t>
  </si>
  <si>
    <t>Разработка рабочей документации, строительно-монтажные  и пусконаладочные работы  по замене релейных защит генераторов 13Г, 14Г и трансформатора 7Т на микропроцессорные защиты</t>
  </si>
  <si>
    <t>Строительно-монтажные  работы по замене трансформаторов тока.</t>
  </si>
  <si>
    <t>04.2013</t>
  </si>
  <si>
    <t>Поставка оборудования и строительно-монтажные  работы.</t>
  </si>
  <si>
    <t>Строительно-монтажные, пусконаладочные и проектные работы по замене релейных защит генераторов 13Г, 14Г и трансформатора 7Т на микропроцессорные защиты</t>
  </si>
  <si>
    <t>Строительно-монтажные  и пусконаладочные работы  по замене агрегатных собственных нужд 0,4 кВ по объекту</t>
  </si>
  <si>
    <t>Строительно-монтажные  и пусконаладочные работы</t>
  </si>
  <si>
    <t>08.2014</t>
  </si>
  <si>
    <t>Строительно-монтажные  и пусконаладочные работы. Трансформатор ТЦ 630000/500 блок 2 г/а 3, 4</t>
  </si>
  <si>
    <t>11.2014</t>
  </si>
  <si>
    <t xml:space="preserve">Строительно-монтажные   работы на ОРУ 220кВ,  ОРУ 500кВ </t>
  </si>
  <si>
    <t>08.2015</t>
  </si>
  <si>
    <t>08.2016 
(46%)</t>
  </si>
  <si>
    <t>Строительно-монтажные   работы и поставка оборудования</t>
  </si>
  <si>
    <t>Строительно-монтажные   работы</t>
  </si>
  <si>
    <t>07.2016
(82%)</t>
  </si>
  <si>
    <t xml:space="preserve">Канал высокочастотной связи по линиям электропередачи 500 кВ ВЛ-571 (инв.№ БРГ_ 00049587).
</t>
  </si>
  <si>
    <t xml:space="preserve">
ПАО «Иркутскэнерго»
664025, г. Иркутск, ул. Сухэ-Батора,3
Генеральный директор Причко О.Н. 
Филиал ПАО "Иркутскэнерго" 
Усть-Илимская ГЭС
666683, г. Усть-Илимск, Иркутской обл., а/я 958, тел. (39535) 95 859, 95 736.
Директор филиала Кузнецов С.В.</t>
  </si>
  <si>
    <t xml:space="preserve">
2</t>
  </si>
  <si>
    <t>1.24</t>
  </si>
  <si>
    <t>2.3</t>
  </si>
  <si>
    <t>2.4</t>
  </si>
  <si>
    <t>2.5</t>
  </si>
  <si>
    <t>2.6</t>
  </si>
  <si>
    <t>2.7</t>
  </si>
  <si>
    <t>2.8</t>
  </si>
  <si>
    <t>2.9</t>
  </si>
  <si>
    <t>2.10</t>
  </si>
  <si>
    <t>2.11</t>
  </si>
  <si>
    <t>2.12</t>
  </si>
  <si>
    <t>2.13</t>
  </si>
  <si>
    <t>2.14</t>
  </si>
  <si>
    <t>2.15</t>
  </si>
  <si>
    <t>2.16</t>
  </si>
  <si>
    <t>2.17</t>
  </si>
  <si>
    <t>2.18</t>
  </si>
  <si>
    <t>2.19</t>
  </si>
  <si>
    <t>2.20</t>
  </si>
  <si>
    <t>2.21</t>
  </si>
  <si>
    <t>ПАО «Иркутскэнерго»
664025, г. Иркутск, ул. Сухэ-Батора,3
Генеральный директор Причко О.Н. 
Филиал ПАО "Иркутскэнерго" 
Усть-Илимская ГЭС
666684 Иркутская область, г.Усть-Илимск-14, а/я 330 тел. (39535) 9 53 59
Директор филиала Кровушкин А.В.</t>
  </si>
  <si>
    <t>Строительные  (ограждение участков территории) и электромонтажные (устройство освещения на участке металлического ограждения) работы.</t>
  </si>
  <si>
    <t>Строительно-монтажные  и пусконаладочные работы по замене оборудования и кабельных связей щита постоянного тока (ЩПТ) здания ГЭС</t>
  </si>
  <si>
    <t>Строительно-монтажные  и пусконаладочные работы по реконструкции, подготовке к работе и пуску дизель-генераторных установок.</t>
  </si>
  <si>
    <t>3.1</t>
  </si>
  <si>
    <t>01.2011</t>
  </si>
  <si>
    <t xml:space="preserve">Электромонтажные   работы </t>
  </si>
  <si>
    <t>04.2011</t>
  </si>
  <si>
    <t>06.2011</t>
  </si>
  <si>
    <t>Ремонтные работы кабельных связей</t>
  </si>
  <si>
    <t>02.2012</t>
  </si>
  <si>
    <t>Ремонтные работы кабельных трасс</t>
  </si>
  <si>
    <t>04.2012</t>
  </si>
  <si>
    <t xml:space="preserve">Ремонтные работы </t>
  </si>
  <si>
    <t>Строительно-монтажные   работы, комплектация и поставка оборудования.</t>
  </si>
  <si>
    <t>Строительно-монтажные  и пусконаладочные  работы, поставка оборудования</t>
  </si>
  <si>
    <t>Строительно-монтажные  и пусконаладочные  работы.</t>
  </si>
  <si>
    <t>3</t>
  </si>
  <si>
    <t>3.2</t>
  </si>
  <si>
    <t>3.3</t>
  </si>
  <si>
    <t>Строительные работы, монтаж кабелей и кабельных конструкций 6 и 0,4 кВ, контрольных кабелей вторичной коммутации, приобретение и монтаж электрооборудования 0,4, 6 кВ, пусконаладочные работы системы шин 0,4, 6 кВ, АСУ СН ИГЭС.</t>
  </si>
  <si>
    <t>4.</t>
  </si>
  <si>
    <t>4.1</t>
  </si>
  <si>
    <t>4.2</t>
  </si>
  <si>
    <t>4.3</t>
  </si>
  <si>
    <t>4.4</t>
  </si>
  <si>
    <t>4.5</t>
  </si>
  <si>
    <t>4.6</t>
  </si>
  <si>
    <t>4.7</t>
  </si>
  <si>
    <t>4.8</t>
  </si>
  <si>
    <t>4.9</t>
  </si>
  <si>
    <t>4.10</t>
  </si>
  <si>
    <t>4.11</t>
  </si>
  <si>
    <t>4.12</t>
  </si>
  <si>
    <t>4.13</t>
  </si>
  <si>
    <t>4.14</t>
  </si>
  <si>
    <t>4.15</t>
  </si>
  <si>
    <t>4.16</t>
  </si>
  <si>
    <t>4.17</t>
  </si>
  <si>
    <t xml:space="preserve">ПАО «Иркутскэнерго»
664025, г. Иркутск, ул. Сухэ-Батора,3
Генеральный директор Причко О.Н. 
Филиал ПАО "Иркутскэнерго" ТЭЦ-6
Иркутская область г. Братск-18, а/я 428 Тел.(395-3) 45-60-25, (395-3) 49-13-59 
Директор филиала
Коноплев Сергей Иванович
</t>
  </si>
  <si>
    <t>09.204</t>
  </si>
  <si>
    <t>Монтажные работы</t>
  </si>
  <si>
    <t>01.2015</t>
  </si>
  <si>
    <t>6</t>
  </si>
  <si>
    <t>5.1</t>
  </si>
  <si>
    <t>5.2</t>
  </si>
  <si>
    <t>5.3</t>
  </si>
  <si>
    <t>5.4</t>
  </si>
  <si>
    <t>5.5</t>
  </si>
  <si>
    <t>ПАО «Иркутскэнерго»
664025, г. Иркутск, ул. Сухэ-Батора,3
Генеральный директор Причко О.Н. 
Филиал ПАО "Иркутскэнерго" ТЭЦ-10
665828 Иркутская область, г. Ангарск, а/я 1199 Тел.(3955) 501-359, 54-00-24  
Директор филиала 
Одяков Игорь Геннадьевич</t>
  </si>
  <si>
    <t>Ремонт освещения электроцехаи дымовой трубы ст. №2, Монтаж контура заземления оперативной лаборатории.</t>
  </si>
  <si>
    <t>Гидрогенератор № 3, 4.  
Замена системы тиристорного возбуждения
г. Иркутск</t>
  </si>
  <si>
    <t>Гидрогенератор № 6, 7  
Замена системы тиристорного возбуждения
г. Иркутск</t>
  </si>
  <si>
    <t>Реконструкция схемы собственных нужд станции на напряжении 6 и 0,4 кВ. 4 пусковой комплекс.
г. Иркутск</t>
  </si>
  <si>
    <t>11.2008</t>
  </si>
  <si>
    <t>Строительно-монтажные  и пусконаладочные  работы, разработка проектно-сметной документации.</t>
  </si>
  <si>
    <t>Монтаж блочных трансформаторов ТЦ-400000/500-УХЛ-1 (производство ПАО «Запорожтрансформатор», Украина) - 6 шт. Монтаж блочных трансформаторов ТЦ-400000/220-УХЛ-1 (производство ПАО «Запорожтрансформатор», Украина) - 3 шт.</t>
  </si>
  <si>
    <t>Выполнение комплекса электромонтажных и пусконаладочных работ собственных нужд, систем освещения и заземления Богучанской ГЭС</t>
  </si>
  <si>
    <t>09.2010</t>
  </si>
  <si>
    <t xml:space="preserve">Монтаж и пусконаладочные  работы вторичного оборудования </t>
  </si>
  <si>
    <t>Строительно-монтажные  и пусконаладочные  работы</t>
  </si>
  <si>
    <t>11.2013</t>
  </si>
  <si>
    <t xml:space="preserve">Работы по монтажу шинных опор, монтажу ошиновки на ОРУ 220 кВ </t>
  </si>
  <si>
    <t>Работы по определению источника повышенного газовыделения в блочном трансформаторе Т7 типа ТЦ-400000/220-УХЛ1</t>
  </si>
  <si>
    <t xml:space="preserve"> ПС "Ангара" 
Работы по монтажу шинных опор, монтажу ошиновки на ОРУ 220 кВ ПС "Ангара" для подключения ячеек №3-4</t>
  </si>
  <si>
    <t>ПАО «Богучанская ГЭС»  
663491, г. Кодинск, стройбаза левого берега. Зд. 1, объединённая база №1 а/я 132 
тел.(39143) 3-10-00, 7-13-96
Генеральный директор Демченко В.В.</t>
  </si>
  <si>
    <t>Ремонтные и пусконаладочные  работы.</t>
  </si>
  <si>
    <t>Поставка материалов, осуществление СМР и ПНР по второму этапу АСО КИА гидротехнических сооружений БоГЭС</t>
  </si>
  <si>
    <t>Поставка материалов, строительно-монтажные  и пусконаладочные  работы</t>
  </si>
  <si>
    <t>Поставка, монтаж и пуско-наладка оборудования системы охранного освещения</t>
  </si>
  <si>
    <t>Поставка оборудования, монтажные  и пусконаладочные  работы</t>
  </si>
  <si>
    <t>Ремонт блочного трансформатора Т-2 типа ТЦ-400000/500-УХЛ1, зав. №159932</t>
  </si>
  <si>
    <t>Ремонтные  работы.</t>
  </si>
  <si>
    <t>Монтаж системы управления компрессорами высокого и низкого давления инв. №00043203</t>
  </si>
  <si>
    <t xml:space="preserve">Маслонаполненная кабельная линия 220 кВ ГТ инв.№00020112
 </t>
  </si>
  <si>
    <t>Периметральное ограждение на правобережной границе территории Братской ГЭС</t>
  </si>
  <si>
    <t xml:space="preserve">Аварийный ремонт кабеля и строительных конструкций МВДТ 220 кВ 14ГТ. 15 ГТ, 16 ГТ. </t>
  </si>
  <si>
    <t>Переоборудование систем автоматической пожарной сигнализации, пожаротушения производственных и административно-бытовых помещений Братской ГЭС</t>
  </si>
  <si>
    <t>Комплексная система управления ГА для участия в АВРЧМ</t>
  </si>
  <si>
    <t>Замена трансформатора тока напряжением 500 кВ станционный номер № ТТ В-4Т-572</t>
  </si>
  <si>
    <t xml:space="preserve">
Усть-Илимская ГЭС
г. Усть-Илимск, Иркутской области
</t>
  </si>
  <si>
    <t>Реконструкция системы оперативного постоянного тока</t>
  </si>
  <si>
    <t xml:space="preserve">Модернизация автоматизированной системы опроса контрольно-измерительной аппаратуры за состоянием гидротехнических сооружений бетонной плотины </t>
  </si>
  <si>
    <t>Модернизация автоматизированной системы опроса контрольно-измерительной аппаратуры за состоянием гидротехнических сооружений бетонной плотины</t>
  </si>
  <si>
    <t>Реконструкция общестанционной системы собственных нужд с подключением источников автономного электропитания по постоянной схеме</t>
  </si>
  <si>
    <t xml:space="preserve">Реконструкция типового блока 500 кВ. Реконструкция блока 7Т. </t>
  </si>
  <si>
    <t xml:space="preserve">Реконструкция главной схемы ОРУ-500 с заменой трансформаторов тока  500 кВ. </t>
  </si>
  <si>
    <r>
      <t xml:space="preserve">Реконструкция типового блока 500 кВ. Реконструкция блока 8Т </t>
    </r>
    <r>
      <rPr>
        <sz val="8"/>
        <color theme="1"/>
        <rFont val="Times New Roman"/>
        <family val="1"/>
        <charset val="204"/>
      </rPr>
      <t>(РЗА)</t>
    </r>
  </si>
  <si>
    <t>Реконструкция типового блока 500 кВ  Реконструкция блока 8Т. АСН 0,4 кВ</t>
  </si>
  <si>
    <t>Модернизация электрооборудования козлового крана зав.№1рег.№152</t>
  </si>
  <si>
    <t>Ремонт металлоконструкций стелы УИГЭС  и площадки, прилегающей к корпусу</t>
  </si>
  <si>
    <t>Капитальный ремонт токопроводов ТЭКН-20/23000 в ячейке трансформаторов ст.№ 1Т, 2Т с полной заменой опорных изоляторов</t>
  </si>
  <si>
    <t xml:space="preserve"> Реконструкция устройств РЗА ВЛ 500 кВ УИ-ГЭС-БрГЭС (ВЛ571) с реализацией ОАПВ</t>
  </si>
  <si>
    <t xml:space="preserve"> Реконструкция устройств РЗА ВЛ 500 кВ УИ-ГЭС-БрГЭС (ВЛ572) с реализацией ОАПВ</t>
  </si>
  <si>
    <t>Модернизация (реконструкция) РЗА автотрансформаторов 1АТ, 2АТ</t>
  </si>
  <si>
    <t>Реконструкция сегментного затвора водосливной секции бетонной плотины для обеспечения бесперебойного маневрирования в период отрицательных температур</t>
  </si>
  <si>
    <t>Техническое перевооружение сегментного затвора водосливной секции бетонной плотины для обеспечения беспрепятственного маневрирования в период отрицательных температур 48ЛЭ №7</t>
  </si>
  <si>
    <t>Кабельные трассы контрольно-измерительных приборов  и автоматики</t>
  </si>
  <si>
    <t>Модернизация средств контроля и управления технологическим процессом к/а ст.№2</t>
  </si>
  <si>
    <t>Кабельные трассы котлоагрегата     
ст. №2 цеха тепловой автоматики и измерений</t>
  </si>
  <si>
    <t>Кабельные трассы температурного контроля котлоагрегата  ст. №3 цеха тепловой автоматики и измерений</t>
  </si>
  <si>
    <t>Модернизация сетевого насоса левого берега с установкой гидромуфты;
Установка регуляторов на сливе с расширителей непрерывной продувки к/а 1-5,7</t>
  </si>
  <si>
    <t>Система вибромониторинга турбины ст. №1</t>
  </si>
  <si>
    <t>Кабельные трассы котлоагрегата     
ст. №3 питательно-деаэраторных установок (ПДУ) 1-4</t>
  </si>
  <si>
    <t>Кабельные трассы турбоагрегата     
ст. № 1</t>
  </si>
  <si>
    <t>Кабельные трассы температурного контроля и дистанционного управления регулирующей арматуры котлоагрегата       ст. №4, электропривода 3ПТС-15, ОС-13А</t>
  </si>
  <si>
    <t>Модернизация системы управления и контроля кислородного хозяйства. Реконструкция схемы обдувки ОГ-1-8, АВО 1-6, ОМ 1-20 котлоагрегата ст.№1</t>
  </si>
  <si>
    <t>Ремонт кабельных трасс КИПиА</t>
  </si>
  <si>
    <t>Модернизация системы возбуждения турбогенератора ст. №5</t>
  </si>
  <si>
    <t>Ремонт кабельных трасс КИП и А</t>
  </si>
  <si>
    <t>АКЗ металлоконструкций ГК</t>
  </si>
  <si>
    <t>Модернизация сетевого насоса промплощадки с установкой частотно-регулируемого привода.</t>
  </si>
  <si>
    <t>Установка частотного регулируемого привода на рабочих машинах (насосах) ПКНС</t>
  </si>
  <si>
    <t>Установка частотного регулируемого привода на рабочих машинах (насосах) ГКНС</t>
  </si>
  <si>
    <t>Ремонт площадок обслуживания КВО
Иркутская область</t>
  </si>
  <si>
    <t>Ремонт стеновых покрытий в ГК ряд А-Б отм. 0.00-12.00, оси 0-1</t>
  </si>
  <si>
    <t>ТЭЦ-6
г. Братск,  Иркутской области</t>
  </si>
  <si>
    <t>Кран мостовой г/п 30/5 тн. Тех. перевооружение электрооборудования и  кабины</t>
  </si>
  <si>
    <t>Ремонт оборудования КИПиА ТЭЦ6 ТИиТС (теплоисточники и теплосети)</t>
  </si>
  <si>
    <t>Ремонт освещения, кабельных трасс и силовых кабелей</t>
  </si>
  <si>
    <t>Ремонт воздушной линии электропередач 0,4 кВ станции насосов осветленной воды.</t>
  </si>
  <si>
    <t>Аккумуляторная батарея №5. Замена ЩПТ-5 с аккумуляторной батареей</t>
  </si>
  <si>
    <t>ТЭЦ-10 
г. Ангарск,  Иркутской области</t>
  </si>
  <si>
    <t xml:space="preserve">Ремонт электротехнического оборудования </t>
  </si>
  <si>
    <t>Ремонт электротехнического оборудования</t>
  </si>
  <si>
    <t>Работы по устройству временной системы отопления помещений КРУЭ 220 кВ Богучанской ГЭС на период выполнения монтажных работ.</t>
  </si>
  <si>
    <t>11.2011</t>
  </si>
  <si>
    <t>Реконструкция типового блока 500кВ. Реконструкция блока 5Т. Реконструкция агрегатных собственных нужд 0,4кВ блока 5Т.</t>
  </si>
  <si>
    <t>2.22</t>
  </si>
  <si>
    <t>Реконструкция типового блока 500кВ. Реконструкция блока 7Т. Реконструкция агрегатных собственных нужд 0,4кВ блока 7Т.</t>
  </si>
  <si>
    <t xml:space="preserve">КРУЭ 220 кВ Монтаж кабельных металлоконструкций </t>
  </si>
  <si>
    <t>Линия электропередач (ВЛ 10 кВ) по опорам с 1 по 69 до базы службы эксплуатации Богучанской ГЭС
г. Кодинск, Кежемский р-н, Красноярский край.</t>
  </si>
  <si>
    <t>Строительство ВЛ 10 кВ</t>
  </si>
  <si>
    <t>ЗАО "Спецэнергосистемы"
660049, г. Красноярск, ул. Карла Маркса, д.48 тел.(391)294-44-40
Директор Нестеров А.Р.</t>
  </si>
  <si>
    <t>Система мониторинга переходных режимов (СМПР)  Богучанской ГЭС</t>
  </si>
  <si>
    <t>Строительно-монтажные  и пусконаладочные работы по системе мониторинга переходных режимов (СМПР)</t>
  </si>
  <si>
    <t>ЗАО "Институт автоматизации энергетических систем"
630132, г. Новосибирск, ул. Железнодорожная, 12/1, 6 этаж, тел. (383) 363-02-65
Генеральный директор: Ландман А.К.</t>
  </si>
  <si>
    <t>2.23</t>
  </si>
  <si>
    <t xml:space="preserve">
Богучанская ГЭС
г. Кодинск, Кежемский р-н, Красноярский край.
</t>
  </si>
  <si>
    <t>5.</t>
  </si>
  <si>
    <t>5.6</t>
  </si>
  <si>
    <t>5.7</t>
  </si>
  <si>
    <t>5.8</t>
  </si>
  <si>
    <t>5.9</t>
  </si>
  <si>
    <t>5.10</t>
  </si>
  <si>
    <t>5.11</t>
  </si>
  <si>
    <t>5.12</t>
  </si>
  <si>
    <t>5.13</t>
  </si>
  <si>
    <t>5.14</t>
  </si>
  <si>
    <t>5.15</t>
  </si>
  <si>
    <t>5.16</t>
  </si>
  <si>
    <t>5.17</t>
  </si>
  <si>
    <t>5.18</t>
  </si>
  <si>
    <t>5.19</t>
  </si>
  <si>
    <t>6.1</t>
  </si>
  <si>
    <t>6.2</t>
  </si>
  <si>
    <t>6.3</t>
  </si>
  <si>
    <t>6.4</t>
  </si>
  <si>
    <t>6.5</t>
  </si>
  <si>
    <t>7</t>
  </si>
  <si>
    <t>7.1</t>
  </si>
  <si>
    <t>8</t>
  </si>
  <si>
    <t>8.1</t>
  </si>
  <si>
    <t>8.2</t>
  </si>
  <si>
    <t xml:space="preserve">
ПАО «Иркутскэнерго»
664025, г. Иркутск, ул. Сухэ-Батора,3
Генеральный директор Причко О.Н. 
Филиал ПАО "Иркутскэнерго" Иркутская ГЭС 
664056, г. Иркутск, Иркутская ГЭС, а/я 3408
тел.:  (3952)793-859,Факс:  (3952)793-856
Директор филиала Усов С.В.
</t>
  </si>
  <si>
    <t>Работы по аварийно-восстановительному ремонту (АВР) блочного трансформатора Т2 типа ТЦ 400000/500 УХЛ1 на БоГЭС</t>
  </si>
  <si>
    <t>Аварийно-восстановительный ремонт блочного трансформатора Т2 типа ТЦ 400000/500 УХЛ, пусконаладочные  работы, комплексное испытание</t>
  </si>
  <si>
    <t xml:space="preserve">ПАО «ФСК ЕЭС» 
117630, г. Москва, ул. Академика Челомея, д.5А.,
Генподрядчик: ЗАО «Электротехническая компания»  614111, Пермский край, г. Пермь, ул. Солдатова, 29/2   Тел./ф. (342)242-00-00, Генеральный директор Потанин В.А.            </t>
  </si>
  <si>
    <t>ООО "Энерготрансстрой"
121087, г. Москва, ул. Барклая, д.6 стр.3 
Генеральный директор Дудзинский В.А.</t>
  </si>
  <si>
    <t xml:space="preserve">
Усть-Илимская ТЭЦ
Иркутская область, г. Усть-Илимск
</t>
  </si>
  <si>
    <t>Непредвиденные работы и устранение дефектов на оборудование цеха ТАИ ТЭЦ-6 ТИиТС в г. Братске</t>
  </si>
  <si>
    <t>ПАО «Иркутскэнерго»
664025, г. Иркутск, ул. Сухэ-Батора,3
Генеральный директор Причко О.Н. 
Филиал ПАО "Иркутскэнерго" ТЭЦ-16
665651 Иркутская область, г. Железногорск-Илимский, 1 п/о, а/я 18. 
Тел.(39566) 2-61-59 (39566) 2-61-59
Директор филиала 
Черкасов Сергей Иванович</t>
  </si>
  <si>
    <t>Проектно-изыскательские, строительно-монтажные  и пусконаладочные  работы, поставка оборудования.</t>
  </si>
  <si>
    <t xml:space="preserve">ТЭЦ-16 
 Иркутская область, г. Железногорск-Илимский
</t>
  </si>
  <si>
    <t>10</t>
  </si>
  <si>
    <t>ПС-110/35/10 кВ "Киренская"
Реконструкция ПС
Иркутская область, г.Киренск</t>
  </si>
  <si>
    <t>21 от 11.04.11;
41 от 14.07.11; 
5 от 18.07.12; 
18 от 26.07.13</t>
  </si>
  <si>
    <t>№ договоров</t>
  </si>
  <si>
    <t>ПС 220/110/35/6кВ Лена
Реконструкция ПС
г. Усть-Кут,  Иркутской области.</t>
  </si>
  <si>
    <t>Монтаж электрооборудования ОРУ-35 и 110 кВ
Монтаж систем РЗиА, ПА, АИИСКУЭ.
Пусконаладочные работы.(Системы РЗиА и телемеханики (ТМ).
Измерения и испытания силовых трансформаторов.
Испытания силового электрооборудования 110 кВ. Металлоконструкции под оборудование открытого распределительного устройства ОРУ-35кВ и 110кВ
Поставка оборудования.</t>
  </si>
  <si>
    <t>Монтаж автотрансформаторов АТДЦТН-125000/220/110/6 - 2шт. Замена оборудования и ошиновки на ОРУ-220, 110, 35 кВ (выключателей, разъединителей, трансформаторов напряжения, ограничителей перенапряжения. трансформаторов тока). Монтаж батареи статических конденсаторов 3х25 МВАр (БСК 110 кВ), элегазовых выключателей, разъединителей 110 кВ. Изготовление и монтаж металлоконструкций под оборудование 220кВ, 110 кВ, 35кВ. Замена аккумуляторных батарей. Монтаж кабельно-проводниковой продукции. Демонтаж и монтаж шкафов РЗА. Поставка оборудования.
 Пусконаладочные работы.</t>
  </si>
  <si>
    <t>20 от 11.04.11
3 от 28.03.12
8 от 19.04.12
16 от 07.06.13</t>
  </si>
  <si>
    <t>ПС 27,5/6 кВ "Шестаково"  с отходящей ВЛ-6кВ
Строительство ПС
п. Шестоково, Нижнеилимский р-н, Иркутская обл.</t>
  </si>
  <si>
    <t>Монтаж ОПУ,  электрооборудования (разъединители, выключатели), общестроительные работы, ограждение. Пусконаладочные работы.</t>
  </si>
  <si>
    <t>4 от 24.05.12</t>
  </si>
  <si>
    <t>6 от 18.07.12
7 от 21.06.12</t>
  </si>
  <si>
    <t>Ново-Иркутская ТЭЦ
Иркутская область, г. Иркутск</t>
  </si>
  <si>
    <t>9</t>
  </si>
  <si>
    <t>9.1</t>
  </si>
  <si>
    <t>Реконструкция схемы СН 2 очереди с заменой ТСР-2 на трансформатор ТРДНС-40000/220/6,3</t>
  </si>
  <si>
    <t>Реконструкция ДЗШТ-220 кВ с заменой на микропроцессорные</t>
  </si>
  <si>
    <t>9.2</t>
  </si>
  <si>
    <t>ПАО «Иркутскэнерго»
664025, г. Иркутск, ул. Сухэ-Батора,3
Генеральный директор Причко О.Н. 
Филиал ПАО "Иркутскэнерго" Ново-Иркутская ТЭЦ   
664043, Иркутская область, г. Иркутск, бульвар Рябикова, 67. Тел.(395-2) 795-309
Директор филиала Матлашевский Юрий Афанасьевич</t>
  </si>
  <si>
    <t>12</t>
  </si>
  <si>
    <t>13</t>
  </si>
  <si>
    <t>ПС "Тайшет-2" 500 кВ (Озерная) Расширение ПС в части подключения ВЛ 500кВ  от ПС "Ангара" до ПС "Тайшет-2" 500 кВ (Озерная) 
г. Тайшет, Иркутской области</t>
  </si>
  <si>
    <t>Турбогенератор станции №6</t>
  </si>
  <si>
    <t>9.3</t>
  </si>
  <si>
    <t xml:space="preserve">050000/2013-а
0490/2013-э-в
0491/2013-э-в
0499/2013-э-в
0569/2015-э-в
</t>
  </si>
  <si>
    <t>Строительно-монтажные, пусконаладочные работы и поставка оборудования</t>
  </si>
  <si>
    <t xml:space="preserve">1-13 НИТЭЦ от 16.05.13
</t>
  </si>
  <si>
    <t>1-14 НИ/ГЭМ от 28.04.14</t>
  </si>
  <si>
    <t>Строительно-монтажные работы</t>
  </si>
  <si>
    <t xml:space="preserve"> Поставка оборудования, демонтажные, строительно-монтажные  и пусконаладочные работы Демонтаж сетей 0,4-10 кВ в п. Кеуль.</t>
  </si>
  <si>
    <t>Замена АТ-1  с 63 на 125 МВА</t>
  </si>
  <si>
    <t>16 от 24.08.12</t>
  </si>
  <si>
    <t>Замена вводов на ПС 220/110/10 кВ "Заводская".
На ПС "Опорная" - замена вводов, аккумуляторных батарей (АБ), зарядно-выпрямительных устройств (2 шт).</t>
  </si>
  <si>
    <t>11 от 22.04.13
17 от 31.05.13</t>
  </si>
  <si>
    <t>30.09.2014</t>
  </si>
  <si>
    <t>Строительно-монтажные, пусконаладочные работы</t>
  </si>
  <si>
    <t>Районные электрические сети (РЭС-2)
Установка дуговых защит РП.
 г. Усть-Илимск, Иркутская область</t>
  </si>
  <si>
    <t>51 от 04.09.13</t>
  </si>
  <si>
    <t>ПС 35/10 " Большеокинск", ПС35/10 "Калтук",  ПС 35/10 "Кардой",  ПС35/10 "Новая Коршуниха", ПС35/10 "Заморский", ПС35/10 "Дальний 2" 
Реконструкция ПС  
Иркутская  обл.</t>
  </si>
  <si>
    <t>Реконструкция телемеханики на ПС СЭС</t>
  </si>
  <si>
    <t>81 от 18.02.14</t>
  </si>
  <si>
    <t xml:space="preserve">Замена вводов, аккумуляторных батарей (АБ), зарядно-выпрямительных устройств. Строительно-монтажные, пусконаладочные работы.
Ремонт оборудования.
</t>
  </si>
  <si>
    <t>91 от 03.06.14
15р-2015об от 29.05.15</t>
  </si>
  <si>
    <t>Строительно-монтажные, пусконаладочные работы.</t>
  </si>
  <si>
    <t>03-2015-ОКС-ц от 15.10.15</t>
  </si>
  <si>
    <t>18 от 30.06.10</t>
  </si>
  <si>
    <t>06.2010</t>
  </si>
  <si>
    <t xml:space="preserve">ПС 220/110/35/10 кВ "Байкальская" 
Реконструкция ПС
г. Иркутск
</t>
  </si>
  <si>
    <t>Реконструкция ПС 220/110/35/10 кВ "Байкальская"  (I этап)</t>
  </si>
  <si>
    <t>14</t>
  </si>
  <si>
    <t>15</t>
  </si>
  <si>
    <t>16</t>
  </si>
  <si>
    <t>17</t>
  </si>
  <si>
    <t>18</t>
  </si>
  <si>
    <t>19</t>
  </si>
  <si>
    <t>20</t>
  </si>
  <si>
    <t>20.1</t>
  </si>
  <si>
    <t>20.2</t>
  </si>
  <si>
    <t>12/2011 от 01.06.11</t>
  </si>
  <si>
    <t>ОАО «Иркутская электросетевая компания»
664033, г. Иркутск, ул. Лермонтова 257,
Тел: (3952) 792-459 
Факс: (3952) 792-461
Генеральный директор Б.Н. Каратаев
Южные электрические сети
Директор филиала ЮЭС А.Л. Прошутинский  664056, г. Иркутск, ул. Безбокова, 38
Тел./факс.: (3952) 793-203</t>
  </si>
  <si>
    <t>21</t>
  </si>
  <si>
    <t xml:space="preserve">Реконструкция ПС 220/110/35/10 кВ "Байкальская" с переводом ПС-35 кВ Лисиха в РП-10 кВ (1 этап)
</t>
  </si>
  <si>
    <t>Замена оборудования на ОРУ 110 кВ: элегазовые выключатели, трансформаторы тока 110 кВ., замена кабельных линий.</t>
  </si>
  <si>
    <t>ПС 110/6 кВ "Знаменская" 
Иркутская обл.
Расширение и реконструкция ПС</t>
  </si>
  <si>
    <t xml:space="preserve">ПС 110/10 кВ "Пивзавод"
Иркутская обл.
Расширение и реконструкция ПС </t>
  </si>
  <si>
    <t>22</t>
  </si>
  <si>
    <t xml:space="preserve">Такелаж трансформаторов </t>
  </si>
  <si>
    <t>07.2011</t>
  </si>
  <si>
    <t>10/2011 от 03.05.11</t>
  </si>
  <si>
    <t>30 от 05.07.11</t>
  </si>
  <si>
    <t xml:space="preserve">ПС 110/6 кВ "Рудная"
Иркутская обл.   
Реконструкция ПС            </t>
  </si>
  <si>
    <t xml:space="preserve">Замена выключателей 110кВ на элегазовые </t>
  </si>
  <si>
    <t xml:space="preserve">ПС 220/10/10 кВ "Бытовая" 
Иркутская обл.
Реконструкция ПС    </t>
  </si>
  <si>
    <t>23</t>
  </si>
  <si>
    <t>24</t>
  </si>
  <si>
    <t>24.1</t>
  </si>
  <si>
    <t xml:space="preserve">Замена выключателей 220кВ на элегазовые </t>
  </si>
  <si>
    <t>Замена аккумуляторных батарей</t>
  </si>
  <si>
    <t>24.2</t>
  </si>
  <si>
    <t>Строительно-монтажные и пусконаладочные  работы</t>
  </si>
  <si>
    <t>1-ЮЭС-2012(АБК) от 20.06.12</t>
  </si>
  <si>
    <t>2-ЮЭС-2012(В) от 30.03.12</t>
  </si>
  <si>
    <t>1-ЮЭС-2012(В) от 30.03.12</t>
  </si>
  <si>
    <t xml:space="preserve">ПС 220 кВ "Правобережная" 
Иркутская обл.
Реконструкция ПС    </t>
  </si>
  <si>
    <t>02.2013</t>
  </si>
  <si>
    <t>Строительно-монтажные и пусконаладочные  работы по замене аккумуляторных батарей</t>
  </si>
  <si>
    <t>1-ЮЭС-2013(АБК) от 27.02.13</t>
  </si>
  <si>
    <t>Реконструкция ОРУ-110 кВ. Монтаж оборудования 110 кВ: Такелаж и монтаж трансформатора 110 кВ. элегазовые выключатели, разъединители, измерительные трансформаторы. Монтаж гибкой ошиновки, кабельных линий и металлоконструкций. Выполнение общестроительных и пусконаладочных работ.</t>
  </si>
  <si>
    <t>Транспортировка к месту ремонта, ремонт и такелаж трансформатора ТДТН 25000/110 (промплощадка разреза Азейский - ПС500 Тулун)</t>
  </si>
  <si>
    <t xml:space="preserve">Промплощадка разреза Азейский - ПС500 Тулун
Иркутская обл. 
Транспортировка, такелаж и ремонт трансформатора ТДТН 25000/110  </t>
  </si>
  <si>
    <t>ОАО «Иркутская электросетевая компания»
664033, г. Иркутск, ул. Лермонтова 257,Тел: (3952) 792-459 Факс: (3952) 792-461
Генеральный директор Б.Н. Каратаев
Филиал Западные электрические сети 
665253 г.Тулун, пер.Энергетиков 6. 
Директор Коваленко Э.А.</t>
  </si>
  <si>
    <t>25</t>
  </si>
  <si>
    <t>27</t>
  </si>
  <si>
    <t>28</t>
  </si>
  <si>
    <t>29</t>
  </si>
  <si>
    <t>Монтаж автотрансформатора ТЗС (АТ-3)</t>
  </si>
  <si>
    <t>08.2010</t>
  </si>
  <si>
    <t>445С001С691 от 19.09.11</t>
  </si>
  <si>
    <t>445С001С660 от 12.08.10</t>
  </si>
  <si>
    <t>445С001С671 от 07.02.10</t>
  </si>
  <si>
    <t>ОРУ-220 кВ</t>
  </si>
  <si>
    <t>ОРУ-500 кВ</t>
  </si>
  <si>
    <t>Монтаж электрооборудования ОРУ-500 кВ (элегазовые колонковые выключатели, разъединители, измерительные трансформаторы, монтаж гибкой и жесткой ошиновки), кабельных линий, шкафного оборудования, металлоконструкций и т.д.</t>
  </si>
  <si>
    <t>Монтаж электрооборудования ОРУ-220 кВ (элегазовые колонковые выключатели, разъединители, измерительные трансформаторы, монтаж гибкой и жесткой ошиновки), кабельных линий, шкафного оборудования, металлоконструкций и т.д.</t>
  </si>
  <si>
    <t>30</t>
  </si>
  <si>
    <t>445С001С683 от 01.06.11</t>
  </si>
  <si>
    <t>Монтаж электрооборудования ОРУ-220 кВ (выключатели, разъединители, монтаж ошиновки), кабельных линий, шкафного оборудования, металлоконструкций. Пусконаладочные работы.</t>
  </si>
  <si>
    <t>31</t>
  </si>
  <si>
    <t>Электромонтажные работы и пусконаладочные работы</t>
  </si>
  <si>
    <t>017-763-11 от 26.04.11
017-2030-11 от 01.12.11</t>
  </si>
  <si>
    <t>Реализация проектов "Строительство хвойной линии";  "Строительство пресспата сушильной машины"</t>
  </si>
  <si>
    <t>31.1</t>
  </si>
  <si>
    <t>31.2</t>
  </si>
  <si>
    <t>017-521-11 от 05.04.11</t>
  </si>
  <si>
    <t>Кабельная трасса от ТЭЦ-6 до РП-11</t>
  </si>
  <si>
    <t>Реализация проекта "Реконструкция объектов подготовки, хранения и подачи КДО на утилизацию". II ПК</t>
  </si>
  <si>
    <t>017-1404-11 от 01.07.11</t>
  </si>
  <si>
    <t>017-2178-11 от 18.11.11</t>
  </si>
  <si>
    <t>Реализация проекта "Реконструкция целлюлозного производства. Управление стратегическими проектами"</t>
  </si>
  <si>
    <t>Транспортировка стрелы крана, парового барабана котла, фермы каркаса.</t>
  </si>
  <si>
    <t>31.3</t>
  </si>
  <si>
    <t>Монтаж электротехнического оборудования для СРК-14 и Выпарной станции</t>
  </si>
  <si>
    <t>017-934-11 от 01.05.11</t>
  </si>
  <si>
    <t>Электромонтажные и пусконаладочные работы по ликвидации последствий аварии после падения крана БК-1000 Б.</t>
  </si>
  <si>
    <t>Электромонтажные и пусконаладочные работы</t>
  </si>
  <si>
    <t>ЦС-06у-11-783 от 26.09.11</t>
  </si>
  <si>
    <t>"Реконструкция целлюлозного производства. 1-я очередь строительства. Варочный отдел хвойного потока. Отдел промывки, сортирования и кислородной делигнификации хвойного потока. Отбельный отдел хвойного потока"</t>
  </si>
  <si>
    <t>Демонтаж оборудования и кабельной трассы РП-7А и РП-7Б. СМР</t>
  </si>
  <si>
    <t>017-305-12 от 13.02.12</t>
  </si>
  <si>
    <t xml:space="preserve"> "Реконструкция целлюлозного производства. 1-я очередь строительства. Сушильный цех хвойного потока"</t>
  </si>
  <si>
    <t>017-1019-12 от 01.07.12</t>
  </si>
  <si>
    <t>Реализация проекта "Реконструкция целлюлозного производства. 1-я очередь строительства"</t>
  </si>
  <si>
    <t xml:space="preserve">Электромонтажные работы по устройству временного освещения </t>
  </si>
  <si>
    <t>Монтаж силового электрооборудования,  КИПиА, кабельно-проводниковой продукции и  вспомогательных материалов в зоне сушильного цеха. Электромонтажные и пусконаладочные работы</t>
  </si>
  <si>
    <t>ЦС-07у-12/942 от 07.08.12</t>
  </si>
  <si>
    <t>Реализация проекта "Реконструкция турбинного отделения КТС ТЭС-3 с установкой двух противодавленческих турбин с давлением острого пара 90 бар"</t>
  </si>
  <si>
    <t>Электромонтажные и пусконаладочные работы электрической системы 6 кВ главного распределительного устройства</t>
  </si>
  <si>
    <t>017-766-13 от 13.06.13</t>
  </si>
  <si>
    <t xml:space="preserve"> СРК-14 и Выпарной цех</t>
  </si>
  <si>
    <t xml:space="preserve">Электромонтажные и пусконаладочные работы </t>
  </si>
  <si>
    <t>017-842-13 от 01.02.13</t>
  </si>
  <si>
    <t>"Реконструкция целлюлозного производства. 1-я очередь строительства. Сушильный отдел хвойного потока. Упаковочное отделение хвойного потока".</t>
  </si>
  <si>
    <t>"Реконструкция целлюлозного производства. 1-я очередь строительства. Сушильный отдел хвойного потока".</t>
  </si>
  <si>
    <t>017-1195-13 от 15.02.13</t>
  </si>
  <si>
    <t>Работы по монтажу электрооборудования.</t>
  </si>
  <si>
    <t>05.2013</t>
  </si>
  <si>
    <t>Комплекс монтажных и пусконаладочных работ</t>
  </si>
  <si>
    <t>017-1088-13 от 31.01.13</t>
  </si>
  <si>
    <t>"Реконструкция целлюлозного производства. 1-я очередь строительства. ЦКРИ".</t>
  </si>
  <si>
    <t>Монтажные работы по прокладке кабеля и работы по испытанию и определению повреждений кабеля 6 кВ на РП 23</t>
  </si>
  <si>
    <t>017-1557-13 от 10.12.13</t>
  </si>
  <si>
    <t>017-1426-13 от 11.11.13</t>
  </si>
  <si>
    <t>РП-16 цеха электроснабжения (ЦЭС)</t>
  </si>
  <si>
    <t>017-1315-13 от 09.10.13</t>
  </si>
  <si>
    <t>Реконструкция ЦП. 1-я очередь строительства. Варочный отдел хвойного потока. Отдел промывки, сортировки и кислородной делигнификации хвойного потока. Отбельный отдел хвойного потока.</t>
  </si>
  <si>
    <t>Электромонтажные работы</t>
  </si>
  <si>
    <t>01.05.2013</t>
  </si>
  <si>
    <t>30.11.2013</t>
  </si>
  <si>
    <t xml:space="preserve"> Реконструкция ЦП.1-я очередь строительства. Технологическая станция СРК-12.</t>
  </si>
  <si>
    <t>Работы по монтажу силового электрооборудования и пусконаладочные работы</t>
  </si>
  <si>
    <t>017-1521-13 от 01.04.13</t>
  </si>
  <si>
    <t>017-1729-13 от 01.12.13</t>
  </si>
  <si>
    <t>Пусконаладочные работы шинопроводов 3,4 и РП-7А, 7Б</t>
  </si>
  <si>
    <t>017-1497-13 от 22.11.13</t>
  </si>
  <si>
    <t>Электромонтажные работы реконструкции шинопроводов 3,4 РП-7А, РП-7Б</t>
  </si>
  <si>
    <t>01.2014</t>
  </si>
  <si>
    <t>Реконструкция турбинного отделения КТЦ ТЭС-3 с установкой двух противодавленческих турбин с давлением острого пара 90 бар</t>
  </si>
  <si>
    <t>017-315-14 от 03.03.14</t>
  </si>
  <si>
    <t>05.2014</t>
  </si>
  <si>
    <t>Пусконаладочные работы по шкафам защиты минимального напряжения распределительных устройств РП-7А, РП-7Б</t>
  </si>
  <si>
    <t>017-422-14 от 31.03.14</t>
  </si>
  <si>
    <t>Станция№1 для выпаривания черного щелока; турбинный цехТЭС-3; насосная станция 2 подъема; ХВО-1; СЦ ПЛЦ; ВОЦ ПЛЦ</t>
  </si>
  <si>
    <t>Работы по замене кабельных трасс</t>
  </si>
  <si>
    <t>017-645-14 от 01.04.14</t>
  </si>
  <si>
    <t>Реконструкция ЦП, 1-я очередь строительства. Техническое перевооружение ЦКРИ</t>
  </si>
  <si>
    <t>017-1336-14 от 26.11.14</t>
  </si>
  <si>
    <t>03.2015</t>
  </si>
  <si>
    <t>017-066-15 от 03.02.2015</t>
  </si>
  <si>
    <t>Работы по ликвидации последствий после падения крана SKR-3500: ЭМР по временному восстановлению шинопроводов №3,4</t>
  </si>
  <si>
    <t>017-1227-14 от 26.11.14</t>
  </si>
  <si>
    <t>Работы по ликвидации последствий после падения крана SKR-3500: ЭМР по полному восстановлению шинопроводов №3,4</t>
  </si>
  <si>
    <t>017-283-15 от 05.03.2015</t>
  </si>
  <si>
    <t>Реализация проекта "Приведение кабельного туннеля в соответствие  нормам и правилам"</t>
  </si>
  <si>
    <t>Реализация проекта "Строительство отдела разложения сульфатного мыла" (ОРСМ)</t>
  </si>
  <si>
    <t>017-1116-15 от 25.06.2015</t>
  </si>
  <si>
    <t xml:space="preserve">Электромонтажные и пусконаладочные работы  по выносу кабелей 6 кВ из кабельного тоннеля ЦЭС под землей от ХВО </t>
  </si>
  <si>
    <t>Реализация проекта "Приобретение силового трансформатора  ТРДЦН-80/110" ЦЭС ХП</t>
  </si>
  <si>
    <t>Демонтаж головного трансформатора Т-2, перевозка трансформатора с ГПП-3 до площадки хранения, реконструкция маслоприемника головного трансформатора Т-2, перевозка трансформатора с ж/д тупика, монтаж и пусконаладочные  работы головного трансформатора Т-2.</t>
  </si>
  <si>
    <t>03.2016</t>
  </si>
  <si>
    <t>017-1859-15 от 24.11.2015</t>
  </si>
  <si>
    <t>017-1906-15 от 27.11.15</t>
  </si>
  <si>
    <t>Реализация проекта "Перенос ПОУ 13/4 с аварийного здания в ТО ТЭС-2"</t>
  </si>
  <si>
    <t>Электромонтажные и пусконаладочные работы по установке трансформаторной подстанции мазутонасосного хозяйства</t>
  </si>
  <si>
    <t>Монтаж кабелей управления и сигнализации РЗиА.
Монтаж кабельных конструкций. Кабельное хозяйство в главном корпусе.
Заземление машинного отделения в главном корпусе.
Монтаж Электрооборудования. Выводы генератора. Приобретение электрооборудования.
Монтаж кабелей управления и сигнализации РЗиА.
Монтаж вторичной коммутации элементов главной схемы, собственных нужд, электрооборудования тиристорной системы возбуждения.
Внедрение полномасштабной АСУ ТП.</t>
  </si>
  <si>
    <t xml:space="preserve">Изготовление и монтаж металлоконструкций, порталов, устройство монолитных ж/б фундаментов. Такелаж и монтаж ВПТ АТ-1, АТ-2; 
монтаж КРУН-10кВ (36 ячеек), кабельных линий и их присоединение, реакторов 10 кВ, разъединителей 110 кВ, шкафов защит и автоматики, контура заземления.  Демонтаж, монтаж порталов и шинных мостов, ТТ-220кВ, вводов220 кВ. 
Пусконаладочные работы. </t>
  </si>
  <si>
    <t>Демонтаж, монтаж кабельных металлоконструкций, электроосвещения, электросилового оборудования, троллейных шинопроводов, низковольтных и высоковольтных ячеек, трансформаторов. Монтажные работы по электрооборудованию кранов, монтаж высоковольтного кабеля, концевых и соединительных муфт. Пусконаладочные работы.</t>
  </si>
  <si>
    <t>Электромонтажные работы  на ленточном конвейере 15-16</t>
  </si>
  <si>
    <t>Работы по замене масляных выключателей 6 кВ на элегазовые</t>
  </si>
  <si>
    <t>Реконструкция ЦП. 1-я очередь строительства. Отбельный цех ХП. Отдел промывки, сортировки и кислородной делигнификации.</t>
  </si>
  <si>
    <t xml:space="preserve">Отделение галереи шинопроводов 3,4  </t>
  </si>
  <si>
    <t>32</t>
  </si>
  <si>
    <t xml:space="preserve">КРУЭ 500кВ СПК
КРУЭ 220кВ СПК
</t>
  </si>
  <si>
    <t xml:space="preserve">Монтаж кабельных линий XLPE 500 кВ и 220кВ сечением 800 мм2, включая монтаж концевых муфт (производство SUEDKABEL, Германия). </t>
  </si>
  <si>
    <t>BGP024-СП от 27.12.11</t>
  </si>
  <si>
    <t xml:space="preserve">ПС 500/110/35кВ Тайшет.
Расширение и реконструкция ПС. 
г. Тайшет, Иркутской области </t>
  </si>
  <si>
    <t xml:space="preserve">ПС 500/220/35кВ Озерная.
Строительство ПС.
г. Тайшет, Иркутской области </t>
  </si>
  <si>
    <t>Монтаж электрооборудования (шкафы ПР).
Электромонтажные работы по электроосвещению</t>
  </si>
  <si>
    <t>ЛДК/18-06/11-Пд от 21.06.11
ЛДК/27-06/11-Пд от 27.06.11</t>
  </si>
  <si>
    <t>13/10 от 11.02.10</t>
  </si>
  <si>
    <t>33</t>
  </si>
  <si>
    <t>Такелажная разгрузка с железнодорожного транспорта, погрузка такелажным способом и последующая транспортировка 10 печных трансформаторов</t>
  </si>
  <si>
    <t>ООО "БЗФ"
 665716, Россия, Иркутская обл., г. Братск, П 01 11 01 00 Тел: (3953) 49-59-01
Управляющий директор В.Г. Прокопец</t>
  </si>
  <si>
    <t>ООО "БЗФ"
 665716, Россия, Иркутская обл., г. Братск, П 01 11 01 00 Тел: (3953) 49-59-01
Управляющий директор В.Г. Прокопец
Генподрядчик ООО "СМК"
665726, Иркутская обл., г. Братск, 
ул. Обручева 37-26</t>
  </si>
  <si>
    <t>Ремонтные и пусконаладочные работы по замене ввода 220 кВ ф.С на ОВ-2-220, ШОН на ВЛ 220кВ ЩБЦ-269</t>
  </si>
  <si>
    <t xml:space="preserve">ПС 500/110/35кВ Тайшет.
Расширение и реконструкция ПС. 
ПС 500/220/35кВ Озерная.
Строительство ПС. 
БПП 500 кВ. 
Реконструкция 
ПС 500 кВ Камала
Реконструкция </t>
  </si>
  <si>
    <t>Строительно-монтажные работы в части оборудования связи</t>
  </si>
  <si>
    <t>ПС 500/110/35кВ Тайшет.
Расширение и реконструкция ПС.</t>
  </si>
  <si>
    <t>Электромонтажные   работы по системе АСКУЭ яч.№ 11W5С (504)</t>
  </si>
  <si>
    <t>616-201/И-12/12(14) от 01.09.12</t>
  </si>
  <si>
    <t>27/2011 от 01.03.11</t>
  </si>
  <si>
    <t>201 от 28.06.12
251 от 20.08.12</t>
  </si>
  <si>
    <t>Такелажная разгрузка с железнодорожного транспорта, погрузка такелажным способом и последующая транспортировка и установка на площадке хранения трансформатора ТРДН 80000/110</t>
  </si>
  <si>
    <t>Капитальный ремонт агрегата трансформаторного ЭОЦНК 21000/10-83 УХЛ (2 шт)</t>
  </si>
  <si>
    <t>17/ЗЭС от 07.02.13</t>
  </si>
  <si>
    <t xml:space="preserve">Разгрузка и консервация трансформаторов КПП-1, КПП-2, ГПП, монтаж резервуаров склада масла </t>
  </si>
  <si>
    <t>446001С126 от 31.10.2008</t>
  </si>
  <si>
    <t>10.2008</t>
  </si>
  <si>
    <t xml:space="preserve">Строительно-монтажные и пусконаладочные  работы по замене  масляных выключателей МВ-110, ОМВ-110, МКП-110 на элегазовые выключатели типа 3АР1 DT производства Siemens, Германия в ОРУ-110 кВ
</t>
  </si>
  <si>
    <t>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Ген. директор Шалак Г.Н.</t>
  </si>
  <si>
    <t>Разгрузка преобразовательно-регулировочных трансформаторов Alstom</t>
  </si>
  <si>
    <t>508С001Р370 от 07.06.12</t>
  </si>
  <si>
    <t>КРУЭ 220 кВ, КПП1, ГПП</t>
  </si>
  <si>
    <t>508С001С205 от 18.12.12</t>
  </si>
  <si>
    <t>Цех ремонта и чистки ковшей</t>
  </si>
  <si>
    <t>508С001С296 от 08.05.13</t>
  </si>
  <si>
    <t xml:space="preserve">Строительно-монтажные работы по объекту: "Телеканалы ВЛ-500кВ" 
-Монтаж оборудования, демонтаж-монтаж кабельных связей.
</t>
  </si>
  <si>
    <t>БПП 500 кВ. 
Реконструкция 
Телеканалы ВЛ-500кВ
п. Турма, Иркутская обл.</t>
  </si>
  <si>
    <t>72/2013 от 20.05.13</t>
  </si>
  <si>
    <t>53/13 от 06.06.13</t>
  </si>
  <si>
    <t>ПС 500 кВ "Ангара" 
Красноярский край</t>
  </si>
  <si>
    <t>97/13 от 18.09.13</t>
  </si>
  <si>
    <t>Строительно-монтажные и электромонтажные работы по устройству: систем ВЧ-связи ЦСПИ ВОЛС на ПС 500 кВ "Ангара"; 
ЦСПИ ВОЛС на усиленном пункте в п.Тиличеть-II объекта "Расширение подстанции Тайшет-2 (Озерная) в части подключения воздушной линии электропередачи от ПС Ангара до ПС Тайшет-2 (Озерная)"</t>
  </si>
  <si>
    <t>Строительство ПС 220/110/10 кВ «Восточная»:
- монтаж (включая опорные металлоконструкции) основного электротехнического оборудования (220 кВ, 110 кВ и 10 кВ);
- монтаж оборудования систем РЗА, ПА, АИИСКУЭ, АСУТП, систем ВЧ связи, ВОЛС, технологической связи, (включая прокладку силовых и контрольных кабелей);
-монтаж  автотрансформаторов OSFSZ-250000/220/110-УХЛ1 - 2 шт;
-монтаж гибкой и жесткой ошиновки 220кВ, 110кВ;
-поставка оборудования;
- пусконаладочные работы;</t>
  </si>
  <si>
    <t xml:space="preserve">05.2015 </t>
  </si>
  <si>
    <t>60/13 от 06.06.13</t>
  </si>
  <si>
    <t>30 от 10.07.13</t>
  </si>
  <si>
    <t>№ 55 от 13.12.2013</t>
  </si>
  <si>
    <t xml:space="preserve"> ПС 220кВ Кодинская ГПП
ЗРУ2 10кВ
Реконструкция линейных ячеек 10кВ. 
г.Кодинск,  Красноярский край, Кежемский р-н</t>
  </si>
  <si>
    <t>Разработка рабочей документации;
Организация авторского надзора;
Поставка и монтаж линейной ячейки ЗРУ 10кВ. Монтаж кабельно-проводниковой продукции.
Пусконаладочные работы.</t>
  </si>
  <si>
    <t>0489/2012-э-в от 01.08.12</t>
  </si>
  <si>
    <t>ПАО "Камчатскэнерго" 683000 г. Петропавловск-Камчатский 
ул. Набережная 10                    Тел: (4152) 421006, Факс: (4152) 412026
Генеральный директор Кондратьев С.Б.</t>
  </si>
  <si>
    <t>ПС 110/10 кВ "Северная" 
Реконструкция ПС
г. Петропавловск-Камчатский, м-р Северо-Восток,  Камчатский  край</t>
  </si>
  <si>
    <t>Строительно-монтажные, пусконаладочные работы, комплектация оборудованием и материалами, авторский надзор за строительством.</t>
  </si>
  <si>
    <t>10-12/14 от 02.06.14</t>
  </si>
  <si>
    <t>ГП-834 о 24.12.14</t>
  </si>
  <si>
    <t>11.2016</t>
  </si>
  <si>
    <t>Склад глинозема, склад фторсолей и УПСГ в бункер ГОУ1</t>
  </si>
  <si>
    <t xml:space="preserve"> КПП-2</t>
  </si>
  <si>
    <t xml:space="preserve">Работы по обеспечению длительного хранения трансформаторов КПП-2 (консервация регулировочных автотрансформаторов мощностью 148 МВА и преобразовательных трансформаторов
 мощностью 2х74 МВА (производство AREVA, Франция)).
</t>
  </si>
  <si>
    <t>508С001С382 от 24.04.14</t>
  </si>
  <si>
    <t>508С001С361 от 23.01.14</t>
  </si>
  <si>
    <t>Корпус электролиза</t>
  </si>
  <si>
    <t xml:space="preserve">508С001С410 от 16.08.14 </t>
  </si>
  <si>
    <t>08.16</t>
  </si>
  <si>
    <t>Анодно-монтажное отделение</t>
  </si>
  <si>
    <t xml:space="preserve">508С001С415 от 21.08.14 </t>
  </si>
  <si>
    <t xml:space="preserve">508С001С417 от 20.08.14 </t>
  </si>
  <si>
    <t>01.2017</t>
  </si>
  <si>
    <t xml:space="preserve"> Отделение переработки электролита (ОПЭ)-</t>
  </si>
  <si>
    <t>558С001С442 от 28.10.14</t>
  </si>
  <si>
    <t>03.2017</t>
  </si>
  <si>
    <t>9110С284 от 15.10.14</t>
  </si>
  <si>
    <t>Комплекс монтажных и пусконаладочных работ электротехнического оборудования сухой газоочистной установки №42 (СГОУ №42)
(Монтаж РП-7, кабельных сетей, электроосвещение, Измерения и испытания электрооборудования СГОУ №42)</t>
  </si>
  <si>
    <t>Илимхимпром
Ремонтно-восстановительные работы
Промплощадка ОАО "Братсккомплексхолдинг", г. Братск, Иркутская обл.</t>
  </si>
  <si>
    <t>Ремонтно-восстановительные работы электрооборудования ячейки №37 ЗРУ-10 ГПП-3, электрооборудования ячейки КРУ-841 КВЗ-6-13-630 в ЦЭС. Проведение испытаний электрооборудования для выявления дефектов.</t>
  </si>
  <si>
    <t>220-144-14 от 25.07.14</t>
  </si>
  <si>
    <t xml:space="preserve">АО "Илимхимпром" (ЗАО)
665718, Иркутская обл. г. Братск, а/я 488
Генеральный директор 
Журавлева Анастасия Валерьевна 
</t>
  </si>
  <si>
    <t>156 от 19.06.13
231 от 12.09.13</t>
  </si>
  <si>
    <t>230 от 18.08.14
320 от 17.11.14</t>
  </si>
  <si>
    <t>1-СМПР от 17.11.14</t>
  </si>
  <si>
    <t>340 от 08.12.14
176 от 17.08.2015</t>
  </si>
  <si>
    <t>73 от 07.04.15</t>
  </si>
  <si>
    <t xml:space="preserve">ПС 110/10 кВ "Еловка" с ВЛ 110 кВ 
Строительство ПС 
Иркутская обл.,  Ангарский район, поселок городского типа Мегет
</t>
  </si>
  <si>
    <t>69/14 от 09.10.14</t>
  </si>
  <si>
    <t>Строительно-монтажные работы (монтаж ОРУ-110 кВ, двух силовых трансформаторов 110/10 кВ мощностью 25 МВА каждый, двух трансформаторов СН 10/0,4 кВ, ЗРУ-10 кВ, ОПУ, монтаж шкафного оборудования и кабельного хозяйства);
Пусконаладочные работы.
Поставка оборудования.</t>
  </si>
  <si>
    <t>283/16 от 24.03.14</t>
  </si>
  <si>
    <t>ООО "Альстом Грид-Русал электроинжиниринг"               
620017, г. Екатеринбург, пр. Космонавтов, 7                           тел. (343) 310 13 42              
Генеральный директор Ф.Пешу</t>
  </si>
  <si>
    <t>14-AREот01.10.14</t>
  </si>
  <si>
    <t xml:space="preserve">Работы по ремонту регулировочных автотрансформаторов мощностью 148 МВА и преобразовательных трансформаторов 
мощностью 2х74 МВА (производство AREVA, Франция) на КПП. 
Приемо-сдаточные испытания и ПНР оборудования КПП
</t>
  </si>
  <si>
    <t xml:space="preserve">ООО "Энергетический Стандарт" 119180, Москва, ул. Большая Якиманка, д.21
 тел. (499) 286-22-33, 286-22-44
     </t>
  </si>
  <si>
    <t xml:space="preserve">Работы по демонтажу, ревизии активной части с подъемом колокола и монтажу реактора РТУ-180000/500-УХЛ1 зав. №162103, установленном в ячейке 576 </t>
  </si>
  <si>
    <t>128 от 20.01.15</t>
  </si>
  <si>
    <t>ОАО "Группа "Илим" в г. Братске</t>
  </si>
  <si>
    <t>ООО "Инженерный центр "Энергосервис"
г. Архангельск, ул. Котласская, 26
Тел. 65-75-65, 64-60-00
Генеральный директор Флейшман И.Л.</t>
  </si>
  <si>
    <t>АНО "Возрождение"
665708, г. Братск, ж/р Центральный, ул. Мира, 32 
Генеральный директор Васильев А.М.</t>
  </si>
  <si>
    <t>12.2017</t>
  </si>
  <si>
    <t>Электромонтажные работы по установке батарей статических конденсаторов на филиале ОАО "Группа "Илим" в г. Братске</t>
  </si>
  <si>
    <t>Электромонтажные работы  культурно-просветительского центра (Храм)</t>
  </si>
  <si>
    <t>151 от 27.07.15</t>
  </si>
  <si>
    <t>ПС 220 кВ "БЦБК"
Реконструкция ПС
Иркутская обл., Слюдянский район, г. Байкальск</t>
  </si>
  <si>
    <t xml:space="preserve">Строительно-монтажные и пусконаладочные работы по реконструкции устройств релейной защиты и автоматики трансформаторов Т-1, Т-2, Т-3, Т-4, СВ-6 кВ, ВЛ-35 кВ ГПП-А, Б, СВ-35кВ, ТН-1,2-35 кВ, ДЗШ-35 кВ, центральной сигнализации; реконструкцию схемы питания собственных нужд постоянного и переменного тока; установку новой АКБ.
</t>
  </si>
  <si>
    <t>46/2015 от 02.11.15</t>
  </si>
  <si>
    <t>ПС Ново-Зиминская,  БПП 500 кВ 
Реконструкция 
Иркутская обл.</t>
  </si>
  <si>
    <t>Строительно-монтажные работы по реконструкции устройств РЗА ВЛ 500 кВ №560 БПП - ПС Ново-Зиминская на ПС Новозиминская и БПП 500 кВ с реализацией ОАПВ</t>
  </si>
  <si>
    <t xml:space="preserve"> Электромонтажные работы по монтажу системы управления компрессорами высокого и низкого давления инв. №00043203
</t>
  </si>
  <si>
    <r>
      <t xml:space="preserve">ПАО «Иркутскэнерго»
664025, г. Иркутск, ул. Сухэ-Батора,3
Генеральный директор Причко О.Н. 
Филиал ПАО "Иркутскэнерго" Братская ГЭС
665709, г. Братск, а/я783
факс (3953)323 367, тел. 323 359
Директор филиала Вотенев  А.А.
Генподрядчик: АО "Энергетические технологии"
664033, г. Иркутск, ул. Лермонтова, 130, оф. 110, Тел.: (3952) 423-523
Генеральный директор </t>
    </r>
    <r>
      <rPr>
        <sz val="9"/>
        <rFont val="Times New Roman"/>
        <family val="1"/>
        <charset val="204"/>
      </rPr>
      <t>Черных О.Г.</t>
    </r>
  </si>
  <si>
    <t xml:space="preserve">09.2016
 </t>
  </si>
  <si>
    <t>ПАО «Иркутскэнерго»
664025, г. Иркутск, ул. Сухэ-Батора,3
Генеральный директор Причко О.Н. 
Филиал ПАО "Иркутскэнерго" 
Усть-Илимская ГЭС
666683, г. Усть-Илимск, Иркутской обл., а/я 958, тел. (39535) 95 859, 95 736.
Директор филиала Кузнецов С.В.
Генподрядчик: ЗАО «ЭК «ЭВАЛИС»
665821, РФ, Иркутская область, г. Ангарск,
ул. Карла Маркса 71
Генеральный директор  Борисов М.В.</t>
  </si>
  <si>
    <t>ПАО «Иркутскэнерго»
664025, г. Иркутск, ул. Сухэ-Батора,3
Генеральный директор Причко О.Н. 
Филиал ПАО "Иркутскэнерго" Иркутская ГЭС 
664056, г. Иркутск, Иркутская ГЭС, а/я 3408
тел.:  (3952)793-859,Факс:  (3952)793-856
Директор филиала Усов С.В.
Генподрядчик: ООО "ЕвроСибЭнерго-инжиниринг" 
 664050,г. Иркутск, ул. Байкальская, д. 259
тел.: (3952) 794-683, факс: (3952) 794-546
Генеральный директор Погосбеков Д.Д.</t>
  </si>
  <si>
    <r>
      <t xml:space="preserve">ОАО «Иркутская электросетевая компания»
664033, г. Иркутск, ул. Лермонтова 257,
Тел: (3952) 792-459
Генеральный директор Б.Н. Каратаев
Южные электрические сети
Директор филиала ЮЭС В.И. Черняков 664056, г. Иркутск, ул. Безбокова, 38
Тел./факс.: (3952) 793-203   
</t>
    </r>
    <r>
      <rPr>
        <sz val="9"/>
        <rFont val="Times New Roman"/>
        <family val="1"/>
        <charset val="204"/>
      </rPr>
      <t>Генподрядчик  ООО «ЕвроСибЭнерго-инжиниринг»  
664050,г. Иркутск, ул. Байкальская, д. 259
тел.: (3952) 794-683, факс: (3952) 794-546
Генеральный директор Погосбеков Д.Д.</t>
    </r>
  </si>
  <si>
    <r>
      <t xml:space="preserve">ОАО «Иркутская электросетевая компания»
664033, г. Иркутск, ул. Лермонтова 257,
Тел: (3952) 792-459
Генеральный директор Б.Н. Каратаев
Центральные электрические сети
665812, Иркутская область, г. Ангарск, ул.Б.Хмельницкого, 22, тел.(3955)502740
Директор: Старцев Максим Владимирович
</t>
    </r>
    <r>
      <rPr>
        <sz val="9"/>
        <rFont val="Times New Roman"/>
        <family val="1"/>
        <charset val="204"/>
      </rPr>
      <t>Генподрядчик  ООО «ЕвроСибЭнерго-инжиниринг»
 664050,г. Иркутск, ул. Байкальская, д. 259
тел.: (3952) 794-683, факс: (3952) 794-546
Генеральный директор Погосбеков Д.Д.</t>
    </r>
  </si>
  <si>
    <r>
      <t xml:space="preserve">ОАО «Иркутская электросетевая компания»
664033, г. Иркутск, ул. Лермонтова 257,
Тел: (3952) 792-459
Генеральный директор Б.Н. Каратаев
Южные электрические сети
Директор филиала ЮЭС В.И. Черняков 664056, г. Иркутск, ул. Безбокова, 38
Тел./факс.: (3952) 793-203   
</t>
    </r>
    <r>
      <rPr>
        <sz val="9"/>
        <rFont val="Times New Roman"/>
        <family val="1"/>
        <charset val="204"/>
      </rPr>
      <t>Генподрядчик  ООО «ЕвроСибЭнерго-инжиниринг» 
 664050,г. Иркутск, ул. Байкальская, д. 259
тел.: (3952) 794-683, факс: (3952) 794-546
Генеральный директор Погосбеков Д.Д.</t>
    </r>
    <r>
      <rPr>
        <sz val="9"/>
        <color rgb="FFFF0000"/>
        <rFont val="Times New Roman"/>
        <family val="1"/>
        <charset val="204"/>
      </rPr>
      <t xml:space="preserve">
</t>
    </r>
    <r>
      <rPr>
        <sz val="9"/>
        <rFont val="Times New Roman"/>
        <family val="1"/>
        <charset val="204"/>
      </rPr>
      <t>Подрядчик: АО "Энергетические технологии"
664033, г. Иркутск, ул. Лермонтова, 130, оф. 110, Тел.: (3952) 423-523
Генеральный директор Черных О.Г.</t>
    </r>
  </si>
  <si>
    <t>КГКУ "Дирекция по комплексному развитию Нижнего Приангарья" (КГКУ "ДКР НП")            660017, г. Красноярск, ул. Урицкого, д. 123,                  тел. (391) 227-81-31, 227-81-53                Генподрядчик  ООО «ЕвроСибЭнерго-инжиниринг» 
 664050,г. Иркутск, ул. Байкальская, д. 259
тел.: (3952) 794-683, факс: (3952) 794-546
Генеральный директор Погосбеков Д.Д.</t>
  </si>
  <si>
    <t xml:space="preserve">
ПАО «Богучанская ГЭС» в лице 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Чернявский С.Ю.</t>
  </si>
  <si>
    <t>BGC 166 от 21.11.08</t>
  </si>
  <si>
    <t>текущее время  
(98% на 01.2017 )</t>
  </si>
  <si>
    <t xml:space="preserve">BGC 078 от 06.09.10 </t>
  </si>
  <si>
    <t>текущее время  
(99% на 01.2017 )</t>
  </si>
  <si>
    <t>текущее время  
(99,7% на 01.2017 )</t>
  </si>
  <si>
    <t>BGC 081 от 10.08.11</t>
  </si>
  <si>
    <t>BGC 378 от 22.04.15</t>
  </si>
  <si>
    <t>текущее время  
(45% на 01.2017 )</t>
  </si>
  <si>
    <t xml:space="preserve">BGC 366 от 12.05.15 </t>
  </si>
  <si>
    <t>текущее время  
(93% на 01.2017 )</t>
  </si>
  <si>
    <t>ПАО «Богучанская ГЭС» в лице 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Чернявский С.Ю.
Генподрядчик: ЗАО «Электротехническая компания», 614111, Пермский край, г. Пермь, ул. Солдатова, 29/2   Тел./ф. (342)242-00-00, Генеральный директор Потанин В.А.</t>
  </si>
  <si>
    <t>4.18</t>
  </si>
  <si>
    <t>Строительно-монтажные   работы по замене ЩПТ-5 с аккумуляторной батареей</t>
  </si>
  <si>
    <t>Монтаж частотного регулирования ЛК-1. Замена светильников приводных и натяжных станций ЛК</t>
  </si>
  <si>
    <t xml:space="preserve">ОАО «Иркутская электросетевая компания» 664033, г. Иркутск, ул. Лермонтова 257, Тел: (3952) 792-459 Факс: (3952) 792-461 
Генеральный директор Каратаев Б.Н.
Северные электрические сети
Директор филиала СЭС Ковалёв П.В.
665709, Иркутская область, г. Братск, а/я 786 
Тел. (3953) 33-17-27, </t>
  </si>
  <si>
    <t xml:space="preserve">ПС-110/6 кВ "Верхнемарково" с отпайкой ВЛ-110 кВ
Строительство ПС.
Иркутская обл., Усть-Кутский р-н, п. Верхнемарково
</t>
  </si>
  <si>
    <t>ПС 110/10 кВ "Северная" 
Реконструкция ПС
г.Братск, Иркутская обл.</t>
  </si>
  <si>
    <t>ПС 220/110/35/6 кВ "Коршуниха", ПС "Н-Коршуниха", Седановский ПП
Реконструкция   
Иркутская обл.</t>
  </si>
  <si>
    <t>ОАО "СУАЛ"
623406 Свердловская обл., г. Каменск-Уральский, ул.Заводская,10
Филиал «ИркАЗ-СУАЛ» ОАО "СУАЛ"
 666034, г. Шелехов ул. Индустриальная,4
Тел. (39510) 9-42-13 
Генеральный директор Гринберг И.С.</t>
  </si>
  <si>
    <t xml:space="preserve">ПС 220/10 кВ "Шелехово"
г.Шелехово, Иркутская обл. Реконструкция ПС   </t>
  </si>
  <si>
    <t xml:space="preserve">ПС 500/220 "Шелеховская" (Ключи) г.Шелехово, Иркутская обл. Реконструкция ПС   </t>
  </si>
  <si>
    <t>34.1</t>
  </si>
  <si>
    <t>34.2</t>
  </si>
  <si>
    <t>35</t>
  </si>
  <si>
    <t>Комплекс работ  по строительству объекта:
 "Расширение ПС 500 кВ Озерная в части подключения ВЛ 500 кВ Богучанская ГЭС-Озерная" по титулу "ВЛ 500кВ Богучанская ГЭС - Озерная" (Установка УШР, ОРУ 500кВ с жесткой ошиновкой, релейная защита, управление и автоматика, ВЧ-связь, ВОЛС,  АИИСКУЭ, АСУТП, видеонаблюдение)</t>
  </si>
  <si>
    <t>36</t>
  </si>
  <si>
    <t>37</t>
  </si>
  <si>
    <t>38</t>
  </si>
  <si>
    <t>39</t>
  </si>
  <si>
    <t>ПАО «Иркутскэнерго»
664025, г. Иркутск, ул. Сухэ-Батора,3
Генеральный директор Причко О.Н. 
Филиал ПАО "Иркутскэнерго" Ново-Иркутская ТЭЦ   
664043, Иркутская область, г. Иркутск, бульвар Рябикова, 67. Тел.(395-2) 795-309
Директор филиала Матлашевский Ю.А.
Генподрядчик: ООО «ЕвроСибЭнерго-инжиниринг»  
 664050,г. Иркутск, ул. Байкальская, д. 259
тел.: (3952) 794-683, факс: (3952) 794-546
Генеральный директор Погосбеков Д.Д.
Подрядчик: АО "Иркутскэнергоремонт" 
664050, г. Иркутск, ул. Байкальская 259, а/я 370, тел.(3952) 794-652 
Генеральный директор Ганжа О.В.</t>
  </si>
  <si>
    <t>КГКУ "Дирекция по комплексному развитию Нижнего Приангарья" (КГКУ "ДКР НП")                660017, г. Красноярск, ул. Урицкого, д. 123,                 тел. (391) 227-81-31, факс: (391)227-81-53 
Генподрядчик: ООО «ЕвроСибЭнерго-инжиниринг»  
 664050, г. Иркутск, ул. Байкальская, д. 259
тел.: (3952) 794-683, факс: (3952) 794-546
Генеральный директор Погосбеков Д.Д.
Подрядчик: АО "Иркутскэнергоремонт" 
664050, г. Иркутск, ул. Байкальская 259, а/я 370, тел.(3952) 794-652 
Генеральный директор Ганжа О.В.</t>
  </si>
  <si>
    <t>40</t>
  </si>
  <si>
    <t>41</t>
  </si>
  <si>
    <t>42</t>
  </si>
  <si>
    <t>43</t>
  </si>
  <si>
    <r>
      <t xml:space="preserve">ОАО «Иркутская электросетевая компания»
664033, г. Иркутск, ул. Лермонтова 257,
Тел: (3952) 792-459
Генеральный директор Б.Н. Каратаев
</t>
    </r>
    <r>
      <rPr>
        <sz val="9"/>
        <rFont val="Times New Roman"/>
        <family val="1"/>
        <charset val="204"/>
      </rPr>
      <t>Генподрядчик  ООО «ЕвроСибЭнерго-инжиниринг» 
 664050,г. Иркутск, ул. Байкальская, д. 259
тел.: (3952) 794-683, факс: (3952) 794-546
Генеральный директор Погосбеков Д.Д.</t>
    </r>
    <r>
      <rPr>
        <sz val="9"/>
        <color rgb="FFFF0000"/>
        <rFont val="Times New Roman"/>
        <family val="1"/>
        <charset val="204"/>
      </rPr>
      <t xml:space="preserve">
</t>
    </r>
    <r>
      <rPr>
        <sz val="9"/>
        <rFont val="Times New Roman"/>
        <family val="1"/>
        <charset val="204"/>
      </rPr>
      <t>Подрядчик ООО "Инженерный центр "Иркутскэнерго",
г. Иркутск, б-р Рябикова 67, 
Тел. (3952) 790-711, Факс (3952) 790-742 
Директор Моисеев Т.В.</t>
    </r>
  </si>
  <si>
    <t>44</t>
  </si>
  <si>
    <t>45.1</t>
  </si>
  <si>
    <t>45.2</t>
  </si>
  <si>
    <t>46</t>
  </si>
  <si>
    <t>47</t>
  </si>
  <si>
    <t>48</t>
  </si>
  <si>
    <t xml:space="preserve">ПАО «ФСК ЕЭС» 117630, г. Москва, ул. Академика Челомея, д.5А. 
Филиал ПАО «ФСК ЕЭС»- ОАО "ЦИУС ЕЭС"-ЦИУС Сибири.
660099, Красноярский край, г. Красноярск, ул. Горького, д.3А, тел. (391) 274-67-00 </t>
  </si>
  <si>
    <t>49</t>
  </si>
  <si>
    <t>ООО "РУСАЛ Тайшетский Алюминиевый Завод"
РФ, 665023, Иркутская обл., Тайшетский р-н, с.Старый Окульшет, ул.Советская, д.41  Генеральный директор Голов А.С.</t>
  </si>
  <si>
    <t>Тайшетский Алюминиевый Завод  Иркутская область, Тайшетский район, село Старый Акульшет, территория Промпл. Тайшетского Алюминиевого завода</t>
  </si>
  <si>
    <r>
      <t xml:space="preserve">ПАО "РУСАЛ Братский Алюминиевый Завод" 665716, Иркутская область, г.Братск-16
Тел. (3953) 49-26-50
</t>
    </r>
    <r>
      <rPr>
        <sz val="9"/>
        <rFont val="Times New Roman"/>
        <family val="1"/>
        <charset val="204"/>
      </rPr>
      <t>Управляющий директор – Евгений Юрьевич Зенкин</t>
    </r>
  </si>
  <si>
    <t>50</t>
  </si>
  <si>
    <t>51</t>
  </si>
  <si>
    <t>52</t>
  </si>
  <si>
    <t>52.1</t>
  </si>
  <si>
    <t>52.2</t>
  </si>
  <si>
    <t>52.3</t>
  </si>
  <si>
    <t>52.4</t>
  </si>
  <si>
    <t>52.5</t>
  </si>
  <si>
    <t>52.6</t>
  </si>
  <si>
    <t>52.7</t>
  </si>
  <si>
    <t>52.8</t>
  </si>
  <si>
    <t>52.9</t>
  </si>
  <si>
    <t xml:space="preserve">Монтаж электрооборудования и электроосвещения объектов транспорта сырья
 </t>
  </si>
  <si>
    <t xml:space="preserve">Монтаж силового электрооборудования, устройство электроосвещения, общестроительные и пусконаладочные работы
</t>
  </si>
  <si>
    <t xml:space="preserve">Монтаж электрооборудования, электроосвещения и АСУТП АМО
</t>
  </si>
  <si>
    <t xml:space="preserve">Работы по монтажу технологического оборудования Анодно-монтажного отделения (АМО):
- монтаж системы отопления; 
- монтаж системы вентиляции и аспирации; 
- монтаж системы воздухоснабжения; 
- монтаж трубопроводов подачи аргона.
</t>
  </si>
  <si>
    <t xml:space="preserve">Монтаж внутренних промышленных трубопроводов, водопроводов и канализации, отопления и вентиляции
</t>
  </si>
  <si>
    <t>53</t>
  </si>
  <si>
    <t>53.1</t>
  </si>
  <si>
    <t>53.2</t>
  </si>
  <si>
    <t>53.3</t>
  </si>
  <si>
    <t>53.4</t>
  </si>
  <si>
    <t>53.5</t>
  </si>
  <si>
    <t>53.6</t>
  </si>
  <si>
    <t>53.7</t>
  </si>
  <si>
    <t>53.8</t>
  </si>
  <si>
    <t>53.9</t>
  </si>
  <si>
    <t>53.10</t>
  </si>
  <si>
    <t>53.11</t>
  </si>
  <si>
    <t>53.12</t>
  </si>
  <si>
    <t>53.13</t>
  </si>
  <si>
    <t>53.14</t>
  </si>
  <si>
    <t>53.15</t>
  </si>
  <si>
    <t>53.16</t>
  </si>
  <si>
    <t>53.17</t>
  </si>
  <si>
    <t>53.18</t>
  </si>
  <si>
    <t>53.19</t>
  </si>
  <si>
    <t>53.20</t>
  </si>
  <si>
    <t>53.21</t>
  </si>
  <si>
    <t>53.22</t>
  </si>
  <si>
    <t>53.23</t>
  </si>
  <si>
    <t>53.24</t>
  </si>
  <si>
    <t>53.25</t>
  </si>
  <si>
    <t>53.26</t>
  </si>
  <si>
    <t>53.27</t>
  </si>
  <si>
    <t>53.28</t>
  </si>
  <si>
    <t>53.29</t>
  </si>
  <si>
    <t>54</t>
  </si>
  <si>
    <t>55</t>
  </si>
  <si>
    <t>56</t>
  </si>
  <si>
    <t>57</t>
  </si>
  <si>
    <t>58.1</t>
  </si>
  <si>
    <t>Дозировочное отделение. Монтаж оборудования, ЩСУ, кабельных связей ЩСУ.</t>
  </si>
  <si>
    <t>58.2</t>
  </si>
  <si>
    <t>58.3</t>
  </si>
  <si>
    <t>58.4</t>
  </si>
  <si>
    <t>58.5</t>
  </si>
  <si>
    <t>58.6</t>
  </si>
  <si>
    <t>59</t>
  </si>
  <si>
    <t>ПАО «Иркутскэнерго»
664025, г. Иркутск, ул. Сухэ-Батора,3
Генеральный директор Причко О.Н. 
Филиал ПАО "Иркутскэнерго" 
Усть-Илимская ГЭС
666683, г. Усть-Илимск, Иркутской обл., а/я 958, тел. (39535) 95 859, 95 736.
Директор филиала Кузнецов С.В.
Генподрядчик: ООО "Аргон"
666683, Иркутская область, г Усть-Илимск, ул. Героев Труда, д 49, кв. 85 
Директор Землякова Т.С.</t>
  </si>
  <si>
    <t>ПАО «Богучанская ГЭС» в лице 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Чернявский С.Ю.
Подрядчик: АО "Гидроэлектромонтаж"
675000, Амурская область, г. Благовещенск, ул. Зейская, 225/3
Генеральный директор В.А. Васильев</t>
  </si>
  <si>
    <t>ПС 220/100 кВ "Восточная" 
Строительство ПС
г. Иркутск</t>
  </si>
  <si>
    <t>ОАО «Иркутская электросетевая компания»
664033, г. Иркутск, ул. Лермонтова 257,Тел: (3952) 792-459 Факс: (3952) 792-461
Генеральный директор Б.Н. Каратаев
Филиал Западные электрические сети 
665253 г.Тулун, пер. Энергетиков 6. 
Директор Коваленко Э.А.
Генподрядчик: ООО «ЕвроСибЭнерго-инжиниринг» 
664050,г. Иркутск, ул. Байкальская, д. 259
тел.: (3952) 794-683, факс: (3952) 794-546
Генеральный директор Погосбеков Д.Д.</t>
  </si>
  <si>
    <t xml:space="preserve">Монтаж автотрансформаторов АОДЦН-167000/500/220 - 3 шт.  Монтаж электрооборудования 500кВ и жесткой ошиновки 500кВ, 220кВ. Устройство фундаментов под оборудование и жесткую ошиновку 220кВ. Изготовление и монтаж металлоконструкций под оборудование и жесткую ошиновку 500кВ, 220кВ. Монтаж кабельно-проводниковой продукции, монтаж ОРУ-35кВ </t>
  </si>
  <si>
    <t xml:space="preserve">ПС 500 кВ "Озерная" 
Строительство ПС
г. Тайшет Иркутской обл.
(ВЛ 500кВ Богучанская ГЭС - Озерная) </t>
  </si>
  <si>
    <t xml:space="preserve">ПАО «ФСК ЕЭС»                
117630, г. Москва, ул. Академика Челомея, д.5А.
Генподрядчик  ООО «ЕвроСибЭнерго-инжиниринг» 
 664050,г. Иркутск, ул. Байкальская, д. 259
тел.: (3952) 794-683, факс: (3952) 794-546
Генеральный директор Погосбеков Д.Д.
</t>
  </si>
  <si>
    <t>ОАО «Иркутская электросетевая компания»
664033, г. Иркутск, ул. Лермонтова 257,Тел: (3952) 792-459 Факс: (3952) 792-461
Генеральный директор Б.Н. Каратаев
Филиал Западные электрические сети 
665253 г.Тулун, пер. Энергетиков 6. 
Директор Коваленко Э.А.., 
Генподрядчик: АО "Энергетические технологии" 
664033, г. Иркутск, ул. Лермонтова, 130, оф. 110, Тел.: (3952) 423-523
Генеральный директор Черных О.Г.</t>
  </si>
  <si>
    <t>ПС 500/220/35 кВ "Озерная"
 г. Тайшет,  Иркутская обл.</t>
  </si>
  <si>
    <t>ОАО «Иркутская электросетевая компания»
664033, г. Иркутск, ул. Лермонтова 257,Тел: (3952) 792-459 Факс: (3952) 792-461
Генеральный директор Б.Н. Каратаев
Филиал Западные электрические сети 
665253 г. Тулун, пер. Энергетиков 6. 
Директор Коваленко Эдуард Александрович;</t>
  </si>
  <si>
    <t>ОАО «Иркутская электросетевая компания»
664033, г. Иркутск, ул. Лермонтова 257,Тел: (3952) 792-459 Факс: (3952) 792-461
Генеральный директор Б.Н. Каратаев
Филиал Западные электрические сети 
665253 г. Тулун, пер. Энергетиков 6. 
Директор Коваленко Э.А.
Подрядчик: АО "ИРМЕТ" 
664050, г. Иркутск, ул. Байкальская, 239, корпус 26 А
Директор С.Г. Шатнев</t>
  </si>
  <si>
    <t>ЭМР в объеме:
установка управляемого шунтирующего реактора; ОРУ 500кВ с жесткой ошиновкой; релейная защита и автоматика; организация ВЧ-каналов связи по ВЛ 500 кВ; кабельное хозяйство и ТСН, ЩСН, система АСУ ТП.</t>
  </si>
  <si>
    <r>
      <t xml:space="preserve">ПАО «ФСК ЕЭС» 
117630, г. Москва, ул. Академика Челомея, д.5А.    
Филиал ПАО «ФСК ЕЭС»- МЭС Сибири.
660099, Красноярский край, Красноярск, ул. Лебедевой, 117 
Тел. (391) 265-95-00 
</t>
    </r>
    <r>
      <rPr>
        <sz val="9"/>
        <rFont val="Times New Roman"/>
        <family val="1"/>
        <charset val="204"/>
      </rPr>
      <t>Генеральный директор филиала – Очайкин Д.В.</t>
    </r>
  </si>
  <si>
    <t>Разработка рабочей документации;
Организация авторского надзора;
Демонтаж внутреннего оборудования двух ячеек РУ10кВ. Поставка  и  монтаж выключателей 10 кВ, оборудования АИИС КУЭ, РЗА, ТМ в ячейках. Монтаж кабельно-проводниковой продукции.
Пусконаладочные работы.</t>
  </si>
  <si>
    <t xml:space="preserve"> ПС 220кВ Кодинская ГПП
ЗРУ 10кВ
Расширение ЗРУ 10кВ на одну линейную ячейку 
г. Кодинск,  Красноярский край, Кежемский р-н</t>
  </si>
  <si>
    <t>Новая котельная каркасного типа отделения "Теплоэнерго" г. Елизово, Площадка котельной № 2 
г. Елизово, Камчатский край
Строительство котельной</t>
  </si>
  <si>
    <t>Строительно-монтажные и демонтажные работы ОРУ 110 кВ.
Монтаж трансформатора ТДН-25000/110/10; оборудования ОРУ 110 кВ; шкафов КРУ 10 кВ; ошиновки 10 кВ; кабельного хозяйства; оборудования АСУ, РЗА, ВЧ-связи.
Пусконаладочные работы</t>
  </si>
  <si>
    <t>ПС 35/10 кВ "Морозная"
Строительство ПС
 г. Елизово, м-р Северо-Запад,
Камчатский край</t>
  </si>
  <si>
    <t>Поставка оборудования. 
Строительно-монтажные работы:
-Устройство фундаментов под оборудование;
-монтаж порталов  35 кВ и 10кВ;
-Устройство ограждения подстанции;
-Монтаж заземления и кабельных трасс ПС;
- Установка опор ВЛ;
-Монтаж трансформаторов ТМН-630/35/10;
-Монтаж ЗРУ 35 кВ и ЗРУ 10 кВ;
-Монтаж системы освещения , видеонаблюдения и СКУД;
-Прокладка кабеля 10 кВ до горнолыжной базы "Морозная". 
Пусконаладочные работы.</t>
  </si>
  <si>
    <t>Братский Алюминиевый Завод
Реконструкция завода
г. Братск, Иркутская обл.</t>
  </si>
  <si>
    <t>Строительная площадка Богучанского алюминиевого завода,  
п. Таёжный,  Красноярский край</t>
  </si>
  <si>
    <t>Богучанский Алюминиевый Завод п. Таёжный,  Красноярский край
Строительство завода</t>
  </si>
  <si>
    <t>Строительная площадка Богучанского алюминиевого завода,  п. Таёжный,  Красноярский край</t>
  </si>
  <si>
    <t>Электромонтажные, пусконаладочные работы и монтаж технологического оборудования.
- Монтаж электрооборудования и электроосвещения; 
- монтаж оборудования для выплавки вакуум-носков; 
- монтаж установки для разрушения футеровки ковшей; 
- монтаж машины для чистки ковшей; 
- монтаж оборудования для сушки ковшей; 
- монтаж системы воздухоснабжения цеха; 
- монтаж трубопроводов подачи масла.</t>
  </si>
  <si>
    <t>АО "Группа Илим"
 г. Братск Иркутской обл.</t>
  </si>
  <si>
    <t>Реализация проекта "Изменение схемы питания распределительных устройств ПОСП КС-1"</t>
  </si>
  <si>
    <t xml:space="preserve">АО "Группа «Илим"
191025, г. Санкт-Петербург, ул. Марата,17,
Филиал  АО "Группа «Илим" в г. Братске, 665718, РФ, Иркутская обл., г. Братск
Тел: (3953) 340106, </t>
  </si>
  <si>
    <t>Работы по ликвидации последствий после падения крана SKR-3500: монтаж кабеля диф. защиты ШП 3,4 и резервного ввода; ПНР и испытание кабеля диф.защиты резервного ввода РП-10, ШП 3,4; ЭМР по кабельной трассе ТЭЦ-6 РП-10.</t>
  </si>
  <si>
    <t>АО "Группа Илим" 
г. Усть-Илимск, Иркутская обл.
СРК-1</t>
  </si>
  <si>
    <t>АО "Группа Илим"
191025, г. Санкт-Петербург, ул. Марата,17,
Филиал  АО "Группа «Илим" в г. Усть-Илимске
666684, Россия, Иркутская область, промплощадка ЛПК, Тел.: (39535) 9-22-66 
Генподрядчик- ООО "Илимтехносервис"</t>
  </si>
  <si>
    <t xml:space="preserve">СМР по замене первой камеры электрофильтра СРК-1 
-Демонтаж, монтаж кабельных конструкций, кабеля; монтаж шин и шинопровода; монтаж высоковольтных трансформаторов-выпрямителей; заземление электростатического фильтра; освещение; вентиляция.
</t>
  </si>
  <si>
    <t>Строгальный цех. Лесопильно-деревообрабатывающий комплекс  по выпуску пиломатериалов (ЛДК Игирма)
п. Новая Игирма,  Иркутская обл.</t>
  </si>
  <si>
    <t>ЗАО "ЛДК Игирма"
664075, Иркутск, ул. Байкальская, д.234</t>
  </si>
  <si>
    <t>Директор ООО "БМУ ГЭМ"                                                                                                                                                         А.В. Хабуктанов</t>
  </si>
  <si>
    <t>Культурно-просветительский центр (Храм)
Строительство
г. Братск, ж/р Центральный, ул. Мира, 32</t>
  </si>
  <si>
    <t xml:space="preserve">Производственная площадка Братского завода ферросплавов 
г. Братск Иркутская обл.
</t>
  </si>
  <si>
    <t xml:space="preserve">
Иркутская ГЭС
г. Иркутск</t>
  </si>
  <si>
    <t xml:space="preserve">ПС-35/6кВ "Новый Невон" и ВЛ-110кВ
пос. Невон, Усть Илимский район, Иркутская обл. </t>
  </si>
  <si>
    <t xml:space="preserve">ПС "Падунская" 
Реконструкция ПС 
г.Братск,  Иркутская  обл.
</t>
  </si>
  <si>
    <t xml:space="preserve">ПС 220/110/10 кВ "Заводская"
ПС 220/110/10 кВ "Опорная"
Реконструкция ПС
г. Братск, Иркутская обл.
</t>
  </si>
  <si>
    <t xml:space="preserve">"ПС 35/10 кВ "Черноруд"
г. Иркутск
</t>
  </si>
  <si>
    <t>ПС 110/10кВ Покровская
Строительство ПС
г.Иркутск, пос. Пивовариха</t>
  </si>
  <si>
    <t>Строительство ПС "под ключ", включая проектные работы, поставку оборудования, строительно-монтажные (монтаж (включая опорные металлоконструкции) основного электротехнического оборудования (110 кВ и 10 кВ); монтаж оборудования систем РЗА, ПА, АИИСКУЭ, АСУТП, систем ВЧ связи, ВОЛС, технологической связи, (включая прокладку силовых и контрольных кабелей); благоустройство, устройство фундаментов под оборудование, порталы и молниеприёмники, строительство здания ОПУ, гаража с административно-бытовыми помещениями, насосной пожаротушения, пожарного водопровода, устройство очистных сооружений с маслоприёмной ёмкостью и маслопроводами, а также строительство новой линии ВЛ 110 кВ в габаритах 220 кВ, протяженностью 1,5 км) и пусконаладочные работы</t>
  </si>
  <si>
    <t>Ст.экономист ПЭО ООО "БМУ ГЭМ" Л.А. Танина-Шахова т.(3953)413760</t>
  </si>
  <si>
    <t>Заказчик
 (наименование, адрес, тел., контактное лицо с указанием должности)</t>
  </si>
  <si>
    <t>Номер, дата договора</t>
  </si>
  <si>
    <t>Предмет договора</t>
  </si>
  <si>
    <t>022/02/11 от 19.03.2011</t>
  </si>
  <si>
    <t>234/02/11 от 26.12.11</t>
  </si>
  <si>
    <t>Реконструкция оборудования режима синхронного компенсатора (СК)  инв. №00043203</t>
  </si>
  <si>
    <t>065/02/12 от 16.05.2012</t>
  </si>
  <si>
    <t xml:space="preserve">Строительно-монтажные работы </t>
  </si>
  <si>
    <t>059/02/12 от 08.06.2012</t>
  </si>
  <si>
    <t>Реконструкция электрооборудования крана козлового №2 г/п 150т Зав.№ 521 (инв. № 00043011)</t>
  </si>
  <si>
    <t>Модернизация устройств центральной сигнализации машинного зала здания  Братской ГЭС.</t>
  </si>
  <si>
    <t>131/02/12 от 18.09.12</t>
  </si>
  <si>
    <t xml:space="preserve">Строительно-монтажные и пусконаладочные работы </t>
  </si>
  <si>
    <t>152/02/12 от 15.10.2012</t>
  </si>
  <si>
    <t>Реконструкция сети постоянного тока машинного зала здания ГЭС 3 -й пусковой комплекс (инв.№№00040122, 00040123).</t>
  </si>
  <si>
    <t>073/02/13 от 13.06.13</t>
  </si>
  <si>
    <t>Замена рабочего колеса 12Г - Вывозка рабочего колеса с МП-1 на центральный склад (территория здания закрытого теплового склада ОМТС) Братской ГЭС</t>
  </si>
  <si>
    <t>075/02/14 от 07.04.2014</t>
  </si>
  <si>
    <t>Замена рабочего колеса 10Г - Вывозка рабочего колеса с МП-1 на центральный склад Братской ГЭС</t>
  </si>
  <si>
    <t>Замена рабочего колеса 8Г - Вывозка рабочего колеса с МП-1 на центральный склад Братской ГЭС</t>
  </si>
  <si>
    <t>Замена рабочего колеса 7Г - Вывозка рабочего колеса с МП-1 на центральный склад Братской ГЭС</t>
  </si>
  <si>
    <t>013/02/15 от 12.02.2015</t>
  </si>
  <si>
    <t>087/02/15 от 29.07.2015</t>
  </si>
  <si>
    <t>Аварийные ремонтные работы</t>
  </si>
  <si>
    <t>102/02/15 от 27.10.2015</t>
  </si>
  <si>
    <t>183/02/14 от 22.09.2014</t>
  </si>
  <si>
    <t>Комплектация и поставка  технологического и инженерного оборудования, конструкций и материалов. Строительно-монтажные работы.</t>
  </si>
  <si>
    <t xml:space="preserve">
Братская ГЭС 
г. Братск,  Иркутской области </t>
  </si>
  <si>
    <t>Реконструкция оборудования режима синхронного компенсатора (СК)</t>
  </si>
  <si>
    <t xml:space="preserve">Модернизация устройств центральной сигнализации машинного зала здания  Братской ГЭС.
 </t>
  </si>
  <si>
    <t>Реконструкция электрооборудования крана козлового №2 г/п 150т</t>
  </si>
  <si>
    <t>Реконструкция сети постоянного тока машинного зала здания ГЭС - 3 этап</t>
  </si>
  <si>
    <t xml:space="preserve">Замена рабочего колеса 12Г </t>
  </si>
  <si>
    <t>Замена рабочего колеса 10Г</t>
  </si>
  <si>
    <t>Замена рабочего колеса 8Г</t>
  </si>
  <si>
    <t xml:space="preserve">Замена рабочего колеса 7Г </t>
  </si>
  <si>
    <t>ПАО «Иркутскэнерго»
664025, г. Иркутск, ул. Сухэ-Батора,3
Генеральный директор Причко О.Н. 
Филиал ПАО "Иркутскэнерго" Братская ГЭС
665709, г. Братск, а/я783
факс (3953)323 367, тел. 323 359
Директор филиала Вотенев  А.А.
Генподрядчик: АО "Энергетические технологии"
664033, г. Иркутск, ул. Лермонтова, 130, оф. 110, Тел.: (3952) 423-523
Генеральный директор Черных О.Г.</t>
  </si>
  <si>
    <t>Реконструкция типового блока 500 кВ. Реконструкция блока 8Т (РЗА)</t>
  </si>
  <si>
    <t>ОАО «Иркутская электросетевая компания»
664033, г. Иркутск, ул. Лермонтова 257,
Тел: (3952) 792-459
Генеральный директор Б.Н. Каратаев
Южные электрические сети
Директор филиала ЮЭС В.И. Черняков 664056, г. Иркутск, ул. Безбокова, 38
Тел./факс.: (3952) 793-203   
Генподрядчик  ООО «ЕвроСибЭнерго-инжиниринг»  
664050,г. Иркутск, ул. Байкальская, д. 259
тел.: (3952) 794-683, факс: (3952) 794-546
Генеральный директор Погосбеков Д.Д.</t>
  </si>
  <si>
    <t>ОАО «Иркутская электросетевая компания»
664033, г. Иркутск, ул. Лермонтова 257,
Тел: (3952) 792-459
Генеральный директор Б.Н. Каратаев
Центральные электрические сети
665812, Иркутская область, г. Ангарск, ул.Б.Хмельницкого, 22, тел.(3955)502740
Директор: Старцев Максим Владимирович
Генподрядчик  ООО «ЕвроСибЭнерго-инжиниринг»
 664050,г. Иркутск, ул. Байкальская, д. 259
тел.: (3952) 794-683, факс: (3952) 794-546
Генеральный директор Погосбеков Д.Д.</t>
  </si>
  <si>
    <t>ОАО «Иркутская электросетевая компания»
664033, г. Иркутск, ул. Лермонтова 257,
Тел: (3952) 792-459
Генеральный директор Б.Н. Каратаев
Южные электрические сети
Директор филиала ЮЭС В.И. Черняков 664056, г. Иркутск, ул. Безбокова, 38
Тел./факс.: (3952) 793-203   
Генподрядчик  ООО «ЕвроСибЭнерго-инжиниринг» 
 664050,г. Иркутск, ул. Байкальская, д. 259
тел.: (3952) 794-683, факс: (3952) 794-546
Генеральный директор Погосбеков Д.Д.
Подрядчик: АО "Энергетические технологии"
664033, г. Иркутск, ул. Лермонтова, 130, оф. 110, Тел.: (3952) 423-523
Генеральный директор Черных О.Г.</t>
  </si>
  <si>
    <t>ОАО «Иркутская электросетевая компания»
664033, г. Иркутск, ул. Лермонтова 257,
Тел: (3952) 792-459
Генеральный директор Б.Н. Каратаев
Генподрядчик  ООО «ЕвроСибЭнерго-инжиниринг» 
 664050,г. Иркутск, ул. Байкальская, д. 259
тел.: (3952) 794-683, факс: (3952) 794-546
Генеральный директор Погосбеков Д.Д.
Подрядчик ООО "Инженерный центр "Иркутскэнерго",
г. Иркутск, б-р Рябикова 67, 
Тел. (3952) 790-711, Факс (3952) 790-742 
Директор Моисеев Т.В.</t>
  </si>
  <si>
    <t>ПАО «ФСК ЕЭС» 
117630, г. Москва, ул. Академика Челомея, д.5А.    
Филиал ПАО «ФСК ЕЭС»- МЭС Сибири.
660099, Красноярский край, Красноярск, ул. Лебедевой, 117 
Тел. (391) 265-95-00 
Генеральный директор филиала – Очайкин Д.В.</t>
  </si>
  <si>
    <t>ПАО "РУСАЛ Братский Алюминиевый Завод" 665716, Иркутская область, г.Братск-16
Тел. (3953) 49-26-50
Управляющий директор – Евгений Юрьевич Зенкин</t>
  </si>
  <si>
    <t xml:space="preserve">Общестроительные работы, монтаж оборудования, электромонтажные и пусконаладочные работы.
- Монтаж трансформаторов ТРДЦН-100000/220кВ (производство ПАО «Запорожтрансформатор», Украина);
- монтаж регулировочных автотрансформаторов мощностью 148 МВА и преобразовательных трансформаторов мощностью 2х74 МВА (производство AREVA, Франция);
- Монтаж токоограничивающих реакторов РТСТТ 10-4000-0,2;
- Монтаж кабельных линий с изоляцией из сшитого полиэтилена марки АПвПу2г 1х630гж/240 мм/кВ. 220 кВ;
- Монтаж концевых трансформаторных маслонаполненных муфт 220 кВ (производство BRÜGG Cables, Германия), концевых кабельных муфт 220 кВ (производство Connex, Германия);  
- Монтаж комплектного распределительного устройства с элегазовой изоляцией (КРУЭ-220 кВ) 
(производство AREVA, Франция);
- Монтаж временного электроснабжения кремниево-преобразовательной подстанции (КПП);
- Монтаж шинопроводов постоянного тока КПП-1 (из алюминиевой шины 640х70), шинных мостов 10кВ;
- Монтаж системы пожаротушения трансформаторов КПП-1 и ГПП-220кВ.
</t>
  </si>
  <si>
    <t>старый вариант</t>
  </si>
  <si>
    <t>Комплексный проект переоборудования систем автоматической пожарной сигнализации, пожаротушения производственных и административно-бытовых помещений Братской ГЭС</t>
  </si>
  <si>
    <t>20ПМ/12 от 31.07.2012</t>
  </si>
  <si>
    <t>63П-21/13 от 19.08.2013</t>
  </si>
  <si>
    <t>63П-28/14 от 03.03.2014</t>
  </si>
  <si>
    <t>63П-30/14 от 03.06.2014</t>
  </si>
  <si>
    <t xml:space="preserve">Прокладка и измерение волоконно-оптических кабелей, их сварка, подключение и измерение.
</t>
  </si>
  <si>
    <t>63П-31/14 от 31.07.2014</t>
  </si>
  <si>
    <t xml:space="preserve">Строительно-монтажные работы следующих комплексов: Терминал АРЧМ, ГРАРМ с верхним уровнем, ЭГР 10Г, ССМД 10Г с верхним уровнем, ЭГР 12Г, ССМД 12Г с верхним уровнем, ЭГР 17Г, ССМД 17Г с верхним уровнем.
</t>
  </si>
  <si>
    <t xml:space="preserve">Строительно-монтажные работы следующих комплексов: Терминал АРЧМ, ГРАРМ с верхним уровнем, ЭГР 3Г, ССМД 3Г с верхним уровнем, ЭГР 4Г, ССМД 4Г с верхним уровнем.
</t>
  </si>
  <si>
    <t xml:space="preserve">Строительно-монтажные работы следующих комплексов: Терминал АРЧМ, ГРАРМ с верхним уровнем, ЭГР 1Г, ЭГР 2Г
</t>
  </si>
  <si>
    <t>63П-33/14 от 27.10.2014</t>
  </si>
  <si>
    <t>63П-32/14 от 15.09.2014</t>
  </si>
  <si>
    <t xml:space="preserve">Строительно-монтажные работы следующих комплексов: Терминал АРЧМ, ГРАРМ с верхним уровнем, ЭГР 18Г
</t>
  </si>
  <si>
    <t>63П-36/15 от 06.02.2015</t>
  </si>
  <si>
    <t xml:space="preserve">Строительно-монтажные работы следующих комплексов: Терминал АРЧМ, ГРАРМ с верхним уровнем, ЭГР 7Г, ПТК ССМД 7Г с верхним уровнем, ЭГР 8Г, ССМД 8Г с верхним уровнем, ЭГР 9Г, ССМД 9Г с верхним уровнем.
</t>
  </si>
  <si>
    <t>63П-37/15 от 25.05.2015</t>
  </si>
  <si>
    <t>Строительно-монтажные работы следующих комплексов: ПТК ССМД 14Г с верхним уровнем</t>
  </si>
  <si>
    <t xml:space="preserve">Строительно-монтажные  работы следующих комплексов: Терминал АРЧМ, ГРАРМ с верхним уровнем, ЭГР 13Г, ПТК ССМД 13Г с верхним уровнем, ЭГР 15Г, ССМД 15Г с верхним уровнем, ССМД 18Г с верхним уровнем, ЭГР 14Г.
</t>
  </si>
  <si>
    <t>63П-39/15 от 27.07.2015</t>
  </si>
  <si>
    <t>07.2017</t>
  </si>
  <si>
    <t xml:space="preserve">09.2016
</t>
  </si>
  <si>
    <t xml:space="preserve">12.2016 
</t>
  </si>
  <si>
    <t xml:space="preserve">Строительно-монтажные  и пусконаладочные работы следующих комплексов:  Терминал АРЧМ, ГРАРМ с верхним уровнем, ССМД 1Г с верхним уровнем
</t>
  </si>
  <si>
    <t xml:space="preserve">Строительно-монтажные работы следующих комплексов:  Терминал АРЧМ, ГРАРМ с верхним уровнем, ССМД 1Г с верхним уровнем
</t>
  </si>
  <si>
    <t>63П-44/15 от 01.10.2015</t>
  </si>
  <si>
    <t xml:space="preserve">Строительно-монтажные  работы  </t>
  </si>
  <si>
    <t>98/2012</t>
  </si>
  <si>
    <t>03-11 от 07.07.2011</t>
  </si>
  <si>
    <t>Реконструкция системы оперативного постоянного тока Усть-Илимской ГЭС</t>
  </si>
  <si>
    <t>26КС/2011 от 24.05.2011</t>
  </si>
  <si>
    <t>27КС/2011 от 27.05.2011</t>
  </si>
  <si>
    <t xml:space="preserve">Строительно-монтажные  работы </t>
  </si>
  <si>
    <t>14КС/2012 от 14.05.2012</t>
  </si>
  <si>
    <t>7КС/2012 от 10.02.2012</t>
  </si>
  <si>
    <t>23-12 от 17.08.2017</t>
  </si>
  <si>
    <t>18КС/2012 от 04.07.2012</t>
  </si>
  <si>
    <t>21КС/2012 от 22.06.2012</t>
  </si>
  <si>
    <t>Капитальный ремонт токопроводов ТЭКН-20/23000 в ячейке трансформаторов ст.№7Т и ст.№8Т с полной заменой опорных изоляторов</t>
  </si>
  <si>
    <t xml:space="preserve">Капитальный ремонт токопроводов ТЭКН-20/23000 в ячейке трансформаторов ст.№7Т и ст.№8Т с полной заменой опорных  изоляторов </t>
  </si>
  <si>
    <t>Капитальный ремонт токопроводов ТЭКН-20/23000 в ячейке трансформаторов ст. № 3Т и ст.№6Т с полной заменой опорных изоляторов</t>
  </si>
  <si>
    <t xml:space="preserve">Капитальный ремонт токопроводов ТЭКН-20/23000 в ячейкетрансформаторов ст. № 3Т и ст.№6Т с полной заменой опорных  изоляторов </t>
  </si>
  <si>
    <t>09-13 от 11.03.2013</t>
  </si>
  <si>
    <t>Реконструкция нежилого отдельно стоящего здания ГЭС, состоящего из 20 отметок,  общей площадью 46582,6м2</t>
  </si>
  <si>
    <t>10КС/2013 от 20.06.2013</t>
  </si>
  <si>
    <t>8КС/2013 от 05.06.2013</t>
  </si>
  <si>
    <t>22КС/2013 от 03.09.2013</t>
  </si>
  <si>
    <t>3КС/2014 от 01.04.2014</t>
  </si>
  <si>
    <t>19-14 от 22.05.2014</t>
  </si>
  <si>
    <t>22-14 от 19.06.2014</t>
  </si>
  <si>
    <t>Реконструкция агрегатных собственных нужд 0,4 кВ блока 2Т</t>
  </si>
  <si>
    <t>10КС/2014 от 30.06.2014</t>
  </si>
  <si>
    <t xml:space="preserve">Строительно-монтажные  и пусконаладочные работы. </t>
  </si>
  <si>
    <t xml:space="preserve"> Реконструкция устройств РЗА ВЛ 500 кВ Усть-Илимская ГЭС - Братская ГЭС (ВЛ571) с реализацией ОАПВ</t>
  </si>
  <si>
    <t>11КС/2014 от 10.07.2014</t>
  </si>
  <si>
    <t xml:space="preserve"> ОРУ 220-500 кВ. Реконструкция устройств РЗА ВЛ 572 на У-ИГЭС с реализацией ОАПВ</t>
  </si>
  <si>
    <t>16КС/2014 от 29.09.2014</t>
  </si>
  <si>
    <t>5КС-2015 от 10.04.2015</t>
  </si>
  <si>
    <t xml:space="preserve">08.2016 
</t>
  </si>
  <si>
    <t>Э-2011/1807 от 25.08.2011</t>
  </si>
  <si>
    <t>Э-2012/27.07 от 27.07.2012</t>
  </si>
  <si>
    <t>Реконструкция типового блока 500кВ Усть-Илимской ГЭС. Реконструкция блока 7Т. Реконструкция агрегатных собственных нужд 0,4кВ блока 7Т Усть-Илимской ГЭС (АСН).</t>
  </si>
  <si>
    <t>08С-13А от 24.03.201</t>
  </si>
  <si>
    <t xml:space="preserve">07.2016
</t>
  </si>
  <si>
    <t>10С-15А от 24.04.2015</t>
  </si>
  <si>
    <t>10.1</t>
  </si>
  <si>
    <t>38 от 06.02.2013</t>
  </si>
  <si>
    <t>Гидрогенератор № 3 1180-160-72.
Замена системы тиристорного возбуждения. (инв. № 054362).
Гидрогенератор № 4 1180-160-72.
Замена системы тиристорного возбуждения. (инв. № 054363).</t>
  </si>
  <si>
    <t>59 от 24.12.2013</t>
  </si>
  <si>
    <t>Гидрогенератор № 6 1160-180-72.
Замена системы тиристорного возбуждения. 
Гидрогенератор № 7 1160-180-72.
Замена системы тиристорного возбуждения.</t>
  </si>
  <si>
    <t xml:space="preserve">Реконструкция схемы собственных нужд станции на напряжении 6 и 0,4 кВ. 4 пусковой комплекс.
</t>
  </si>
  <si>
    <t>ИРМ-11/11 от 15.04.2011</t>
  </si>
  <si>
    <t>Разработка проектно-сметной документации и выполнение комплекса работ по изменению схемы 6 кВ временного электроснабжения основных сооружений Богучанской ГЭС</t>
  </si>
  <si>
    <t>Разработка проектно-сметной документации и выполнение комплекса работ по  изменению схемы 6 кВ временного электроснабжения основных сооружений Богучанской ГЭС</t>
  </si>
  <si>
    <t>Монтаж и пусконаладочные  работы  силового электрооборудования Богучанской ГЭС</t>
  </si>
  <si>
    <t>BGC 082 от 25.08.2009</t>
  </si>
  <si>
    <t>BGC 166 от 21.11.2008</t>
  </si>
  <si>
    <t>Второй этап автоматизированной системы опроса контрольно-измерительной аппаратуры (АСО КИА) гидротехнических сооружений Богучанской ГЭС</t>
  </si>
  <si>
    <t>5230-13-ПЭГ от 24.07.2013</t>
  </si>
  <si>
    <t>Аварийно-восстановительный ремонт (АВР) блочного трансформатора Т2 типа ТЦ 400000/500 УХЛ1 на БоГЭС</t>
  </si>
  <si>
    <t>Определение источника повышенного газовыделения в блочном трансформаторе Т7 типа ТЦ-400000/220-УХЛ1</t>
  </si>
  <si>
    <t>6246-15-СПСР от 06.04.2015</t>
  </si>
  <si>
    <t>5</t>
  </si>
  <si>
    <r>
      <rPr>
        <b/>
        <sz val="9"/>
        <color theme="1"/>
        <rFont val="Times New Roman"/>
        <family val="1"/>
        <charset val="204"/>
      </rPr>
      <t xml:space="preserve"> ПС "Ангара" 
 п. Таежный,  Богучанском район, Красноярский край</t>
    </r>
    <r>
      <rPr>
        <sz val="9"/>
        <color theme="1"/>
        <rFont val="Times New Roman"/>
        <family val="1"/>
        <charset val="204"/>
      </rPr>
      <t xml:space="preserve">
Работы по монтажу шинных опор, монтажу ошиновки на ОРУ 220 кВ ПС "Ангара" для подключения ячеек №3-4</t>
    </r>
  </si>
  <si>
    <t xml:space="preserve">Монтаж  КРУЭ 500кВ </t>
  </si>
  <si>
    <t>Монтаж оборудования КРУЭ 500 кВ Богучанской ГЭС</t>
  </si>
  <si>
    <t>45 от 07.09.2011</t>
  </si>
  <si>
    <t xml:space="preserve">Работы по монтажу 11 комплектов оборудования  КРУЭ 500 кВ </t>
  </si>
  <si>
    <t xml:space="preserve">Монтаж кабельных линий XLPE 500 кВ и 220кВ </t>
  </si>
  <si>
    <t xml:space="preserve">Комплекс работ по монтажу кабельных линий XLPE 500 кВ и 220кВ </t>
  </si>
  <si>
    <t>КРУЭ 220кВ Богучанской ГЭС</t>
  </si>
  <si>
    <t>Работы по монтажу оборудования по титулу "КРУЭ 220кВ Богучанской ГЭС".</t>
  </si>
  <si>
    <t>44 от 29.08.2011</t>
  </si>
  <si>
    <t>Устройство временной системы отопления помещений КРУЭ 220 кВ Богучанской ГЭС</t>
  </si>
  <si>
    <t>47 от 28.09.2011</t>
  </si>
  <si>
    <t>ИЦ-03/5-11-917 от 10.03.12</t>
  </si>
  <si>
    <t>Монтаж кабельных линий XLPE 500 кВ сечением 1х2500 мм2 . Изготовление и монтаж металлоконструкций для прокладки кабеля 500кВ. 
Пусконаладочные работы.</t>
  </si>
  <si>
    <t>Строительно-монтажные  и пусконаладочные работы по системе мониторинга переходных режимов (СМПР) БоГЭС</t>
  </si>
  <si>
    <t>1 от 31.01.2012</t>
  </si>
  <si>
    <t>Работы по монтажу кабельных металлоконструкций и линий КРУЭ 220кВ</t>
  </si>
  <si>
    <t>15/10-1 от 18.10.2013</t>
  </si>
  <si>
    <t>130 от 03.02.2015</t>
  </si>
  <si>
    <t>01/2011-ГЭМ от 06.12.2010</t>
  </si>
  <si>
    <t>КС-02-11 от 15.02.2011</t>
  </si>
  <si>
    <t>02/2011-ГЭМ от 12.04.2011</t>
  </si>
  <si>
    <t>03/2011-ГЭМ от 12.04.2011</t>
  </si>
  <si>
    <t>КС-24-11 от 01.06.2011</t>
  </si>
  <si>
    <t>05-2012/ГЭМ от 06.03.2012</t>
  </si>
  <si>
    <t>04-2012/ГЭМ от 08.02.2012</t>
  </si>
  <si>
    <t>06-2012/ГЭМ от 17.05.2012</t>
  </si>
  <si>
    <t>07-2012/ГЭМ от 09.10.2012</t>
  </si>
  <si>
    <t>КС-71-12 от 22.10.2012</t>
  </si>
  <si>
    <t>08/2013-ГЭМ от 29.04.2013</t>
  </si>
  <si>
    <t>КС-25-13 от 28.06.2013</t>
  </si>
  <si>
    <t>010/2014-ГЭМ от 17.01.2014</t>
  </si>
  <si>
    <t>011/2014-ГЭМ от 22.04.2014</t>
  </si>
  <si>
    <t>КС-70-14 то 07.08.2014</t>
  </si>
  <si>
    <t>КС-69-14 то 07.08.2014</t>
  </si>
  <si>
    <t>КС-68-14 то 07.08.2014</t>
  </si>
  <si>
    <t>014/2015-ГЭМ от 19.10.2015</t>
  </si>
  <si>
    <t>015/2015*-ГЭМ от 30.11.2015</t>
  </si>
  <si>
    <t>107-13/14 от 18.06.2014</t>
  </si>
  <si>
    <t>258-023/15 от 19.01.2015</t>
  </si>
  <si>
    <t>121-016/15 от 19.01.2015</t>
  </si>
  <si>
    <t>258-025/15 от 27.01.2015</t>
  </si>
  <si>
    <t>121-064/15 от 16.10.2015</t>
  </si>
  <si>
    <t>28-4-КС от 19.05.2015</t>
  </si>
  <si>
    <t>84-Р-12 от 12.04.2012</t>
  </si>
  <si>
    <t>85-Р-12 от 12.04.2012</t>
  </si>
  <si>
    <t>1-13 НИТЭЦ от 16.05.2013</t>
  </si>
  <si>
    <t>1-14 НИ/ГЭМ от 28.04.2014</t>
  </si>
  <si>
    <t>050000/2013-а
0490/2013-э-в
0491/2013-э-в
0499/2013-э-в
0569/2015-э-в</t>
  </si>
  <si>
    <t>15 от 04.03.2011</t>
  </si>
  <si>
    <t xml:space="preserve"> Поставка оборудования, демонтажные, строительно-монтажные  и пусконаладочные работы </t>
  </si>
  <si>
    <t xml:space="preserve">ПС-35/6кВ "Новый Невон" и ВЛ-110кВ
пос. Невон, Усть Илимский район, Иркутская обл. </t>
  </si>
  <si>
    <t>Замена АТ-1  с 63 на 125 МВА. 
Сроительно-монтажные работы и такелаж оборудования.</t>
  </si>
  <si>
    <t>Реконструкция телемеханики на ПС СЭС
Строительно-монтажные, пусконаладочные работы</t>
  </si>
  <si>
    <t>Строительно-монтажные, пусконаладочные работы.
Ремонт оборудования.</t>
  </si>
  <si>
    <t>91 от 03.06.14
15р-2015об от 29.05.1</t>
  </si>
  <si>
    <t>Строительно-монтажные, пусконаладочные работы, такелаж оборудования..</t>
  </si>
  <si>
    <t>Строительно-монтажные, пусконаладочные работы,поставка оборудования..</t>
  </si>
  <si>
    <t>Строительство ПС "под ключ". 
Проектные работы, поставка оборудования, строительно-монтажные и пусконаладочные работы</t>
  </si>
  <si>
    <t>118-ВЭС-2013 от 05.09.13</t>
  </si>
  <si>
    <t>159-ВЭС-2013 от 30.08.13</t>
  </si>
  <si>
    <t xml:space="preserve">Транспортировка к месту ремонта, ремонт и такелаж трансформатора ТДТН 25000/110 </t>
  </si>
  <si>
    <t>119_ЗЭС от 20.08.13</t>
  </si>
  <si>
    <t>Поставка оборудования, строительно-монтажные и пусконаладочные работы</t>
  </si>
  <si>
    <t>Ремонтные и наладочные работы</t>
  </si>
  <si>
    <t>10-12 от 23.07.12</t>
  </si>
  <si>
    <t xml:space="preserve">ПС 500 кВ "Озерная" 
"Расширение ПС 500 кВ Озерная в части подключения ВЛ 500 кВ Богучанская ГЭС-Озерная" по титулу "ВЛ 500кВ Богучанская ГЭС - Озерная" </t>
  </si>
  <si>
    <t xml:space="preserve">Строительно-монтажные и пусконаладочные  работы по замене  масляных выключателей на элегазовые </t>
  </si>
  <si>
    <t xml:space="preserve">Электромонтажные   работы по системе АСКУЭ </t>
  </si>
  <si>
    <t>Электромонтажные работы в объеме:
установка управляемого шунтирующего реактора; ОРУ 500кВ с жесткой ошиновкой; релейная защита и автоматика; организация ВЧ-каналов связи по ВЛ 500 кВ; кабельное хозяйство и ТСН, ЩСН, система АСУ ТП.</t>
  </si>
  <si>
    <t>Строительно-монтажные и пусконаладочные работы по реконструкции устройств релейной защиты и автоматики</t>
  </si>
  <si>
    <t>28_15-1ИЦ_15 от 15.10.2015</t>
  </si>
  <si>
    <t>Разработка рабочей документации;
Организация авторского надзора;
Поставка оборудования
Строительно-монтажные работы
Пусконаладочные работы.</t>
  </si>
  <si>
    <t>55 от 13.12.2013</t>
  </si>
  <si>
    <t>Строительно-монтажные и пусконаладочные работы</t>
  </si>
  <si>
    <t>ГП-324 от 09.12.2015</t>
  </si>
  <si>
    <t xml:space="preserve">Работы по разгрузке и консервации трансформаторов КПП-1, КПП-2, ГПП, монтаж резервуаров склада масла </t>
  </si>
  <si>
    <t xml:space="preserve">Комплекс монтажных и пусконаладочных работ </t>
  </si>
  <si>
    <t>Ремонтные работы, приемо-сдаточные испытания и ПНР оборудования КПП</t>
  </si>
  <si>
    <t>14-ARE от 01.10.14</t>
  </si>
  <si>
    <t>Рабрты по разгрузке преобразовательно-регулировочных трансформаторов Alstom</t>
  </si>
  <si>
    <t>Общестроительные работы, монтаж оборудования, электромонтажные и пусконаладочные работы.</t>
  </si>
  <si>
    <t xml:space="preserve">
</t>
  </si>
  <si>
    <t>- Монтаж трансформаторов ТРДЦН-100000/220кВ (производство ПАО «Запорожтрансформатор», Украина);</t>
  </si>
  <si>
    <t>- монтаж регулировочных автотрансформаторов мощностью 148 МВА и преобразовательных трансформаторов мощностью 2х74 МВА (производство AREVA, Франция);</t>
  </si>
  <si>
    <t>- Монтаж токоограничивающих реакторов РТСТТ 10-4000-0,2;</t>
  </si>
  <si>
    <t>- Монтаж кабельных линий с изоляцией из сшитого полиэтилена марки АПвПу2г 1х630гж/240 мм/кВ. 220 кВ;</t>
  </si>
  <si>
    <t xml:space="preserve">- Монтаж концевых трансформаторных маслонаполненных муфт 220 кВ (производство BRÜGG Cables, Германия), концевых кабельных муфт 220 кВ (производство Connex, Германия);  </t>
  </si>
  <si>
    <t xml:space="preserve">- Монтаж комплектного распределительного устройства с элегазовой изоляцией (КРУЭ-220 кВ) </t>
  </si>
  <si>
    <t>(производство AREVA, Франция);</t>
  </si>
  <si>
    <t>- Монтаж временного электроснабжения кремниево-преобразовательной подстанции (КПП);</t>
  </si>
  <si>
    <t>- Монтаж шинопроводов постоянного тока КПП-1 (из алюминиевой шины 640х70), шинных мостов 10кВ;</t>
  </si>
  <si>
    <t>- Монтаж системы пожаротушения трансформаторов КПП-1 и ГПП-220кВ.</t>
  </si>
  <si>
    <t>Электромонтажные, пусконаладочные работы и монтаж технологического оборудования.</t>
  </si>
  <si>
    <t>Работы по обеспечению длительного хранения трансформаторов КПП-2</t>
  </si>
  <si>
    <t>Монтаж силового электрооборудования, устройство электроосвещения, общестроительные и пусконаладочные работы</t>
  </si>
  <si>
    <t xml:space="preserve">Работы по монтажу технологического оборудования Анодно-монтажного отделения </t>
  </si>
  <si>
    <t>Строительно-монтажные работы.</t>
  </si>
  <si>
    <t>Строительно-монтажные и пусконаладочные  работы по реконструкции головного трансформатора Т-2</t>
  </si>
  <si>
    <t xml:space="preserve">СМР по замене первой камеры электрофильтра СРК-1 </t>
  </si>
  <si>
    <t xml:space="preserve">Электромонтажные работы по установке батарей статических конденсаторов </t>
  </si>
  <si>
    <t xml:space="preserve">Ремонтно-восстановительные работы </t>
  </si>
  <si>
    <t>Монтаж электрооборудования.
Электромонтажные работы по электроосвещению</t>
  </si>
  <si>
    <t>112-07 от 21.07.2011</t>
  </si>
  <si>
    <t xml:space="preserve">Электромонтажные работы </t>
  </si>
  <si>
    <t>ОАО «Иркутскэнерго»
664025, г. Иркутск, ул. Сухэ-Батора,3
Генеральный директор Федоров Е.В. 
Филиал ОАО "Иркутскэнерго" Братская ГЭС
665709, г. Братск, а/я783
факс (3953)323 367, тел. 323 359
Директор филиала Кузнецов С.В.</t>
  </si>
  <si>
    <t>ОАО «Иркутскэнерго»
664025, г. Иркутск, ул. Сухэ-Батора,3
Генеральный директор Федоров Е.В. 
Филиал ОАО "Иркутскэнерго" Братская ГЭС
665709, г. Братск, а/я783
факс (3953)323 367, тел. 323 359
Директор филиала Вотенев  А.А.</t>
  </si>
  <si>
    <t>Комплекс работ по объекту филиала ОАО "Иркутскэнерго" Братская ГЭС "Реконструкция оборудования режима СК"  инв. №00043203</t>
  </si>
  <si>
    <t>Реконструкция оборудования режима СК  инв. №00043203</t>
  </si>
  <si>
    <t>Строительно-монтажные работы по объекту филиала ОАО "Иркутскэнерго" Братская ГЭС "Монтаж системы управления компрессорами высокого и низкого давления инв. №00043203".</t>
  </si>
  <si>
    <t>Ремонт кабельных концевых муфт 220 кВ (объект ремонта маслонаполненная кабельная линия 220 кВ ГТ инв.№00020112)</t>
  </si>
  <si>
    <t>Строительно-монтажные работы по объекту филиала ОАО "Иркутскэнерго" Братская ГЭС Модернизация устройств центральной сигнализации машинного зала здания  Братской ГЭС - 1 этап (инв. № БРГ-00040174).</t>
  </si>
  <si>
    <t>Строительно-монтажные и пуско-наладочные работы по объекту филиала ОАО "Иркутскэнерго" Братская ГЭС  Реконструкция электрооборудования крана козлового №2 г/п 150т Зав.№ 521 (инв. № 00043011)</t>
  </si>
  <si>
    <t xml:space="preserve">Строительно-монтажные работы  по объекту филиала ОАО "Иркутскэнерго" Братская ГЭС  Периметральное ограждение на правобережной границе территории Братской ГЭС </t>
  </si>
  <si>
    <t>Строительно-монтажные и пуско-наладочные работы по объекту филиала ОАО "Иркутскэнерго" Братская ГЭС  "Реконструкция сети постоянного тока машинного зала здания ГЭС 3 -й пусковой комплекс (инв.№№00040122, 00040123)".</t>
  </si>
  <si>
    <t>ОАО «Иркутскэнерго»
664025, г. Иркутск, ул. Сухэ-Батора,3
Генеральный директор Причко О.Н. 
Филиал ОАО "Иркутскэнерго" Братская ГЭС
665709, г. Братск, а/я783
факс (3953)323 367, тел. 323 359
Директор филиала Вотенев  А.А.</t>
  </si>
  <si>
    <t>Монтаж узлов пожаротушения пусковых комплексов №№ 7,12, 15, 17, 16. на объекте филиала ОАО "Иркутскэнерго" Братская ГЭС согласно рабочему проекту "Комплексный проект переоборудования систем автоматической пожарной сигнализации, пожаротушения производственных и административно-бытовых помещений Братской ГЭС".</t>
  </si>
  <si>
    <t>Работы по объекту филиала ОАО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16Г, ССМД 16Г с верхним уровнем).</t>
  </si>
  <si>
    <t xml:space="preserve">Работы по объекту филиала ОАО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10Г, ССМД 10Г с верхним уровнем, ЭГР 12Г, ССМД 12Г с верхним уровнем, ЭГР 17Г, ССМД 17Г с верхним уровнем).
</t>
  </si>
  <si>
    <t xml:space="preserve">Работы по объекту филиала ОАО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3Г, ССМД 3Г с верхним уровнем, ЭГР 4Г, ССМД 4Г с верхним уровнем).
</t>
  </si>
  <si>
    <t xml:space="preserve">Работы по объекту филиала ОАО "Иркутскэнерго" Братская ГЭС "Комплексная система управления ГА для участия в АВРЧМ" (Прокладка и измерение всех ВОК (волоконно-оптических кабелей), их сварка, подключение и измерение.
</t>
  </si>
  <si>
    <t xml:space="preserve">Работы по объекту филиала ОАО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1Г, ЭГР 2Г)
</t>
  </si>
  <si>
    <t xml:space="preserve">Работы по объекту филиала ОАО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18Г)
</t>
  </si>
  <si>
    <t xml:space="preserve">Работы по объекту филиала ОАО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7Г, ПТК ССМД 7Г с верхним уровнем, ЭГР 8Г, ССМД 8Г с верхним уровнем, ЭГР 9Г, ССМД 9Г с верхним уровнем).
</t>
  </si>
  <si>
    <t xml:space="preserve">Работы по объекту филиала ОАО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13Г, ПТК ССМД 13Г с верхним уровнем, ЭГР 15Г, ССМД 15Г с верхним уровнем, ССМД 18Г с верхним уровнем, ЭГР 14Г).
</t>
  </si>
  <si>
    <t xml:space="preserve">Работы по объекту филиала ОАО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ССМД 1Г с верхним уровнем)
</t>
  </si>
  <si>
    <t xml:space="preserve">Строительно-монтажные  работы  по объекту филиала ОАО "Иркутскэнерго" Братская ГЭС  Канал высокочастотной связи по линиям электропередачи 500 кВ ВЛ-571 (инв.№ БРГ_ 00049587). </t>
  </si>
  <si>
    <t>ОАО «Иркутскэнерго»
664025, г. Иркутск, ул. Сухэ-Батора,3
Генеральный директор  Федоров Е.В.  
Филиал ОАО "Иркутскэнерго" Братская ГЭС
665709, г. Братск, а/я783
факс (3953)323 367, тел. 323 359
Директор филиала Вотенев  А.А.
Генподрядчик: ООО "ПО "Иркутскэнерго"
664043, г. Иркутск, бульвар Рябикова, 65
тел.(3952)790 076, 795 033
Директор Семин Б.М.</t>
  </si>
  <si>
    <r>
      <t xml:space="preserve">ОАО «Иркутскэнерго»
664025, г. Иркутск, ул. Сухэ-Батора,3
Генеральный директор  Федоров Е.В. 
Филиал ОАО "Иркутскэнерго" Братская ГЭС
665709, г. Братск, а/я783
факс (3953)323 367, тел. 323 359
Директор филиала Вотенев  А.А.
Генподрядчик: АО "Энергетические технологии"
664033, г. Иркутск, ул. Лермонтова, 130, оф. 110, Тел.: (3952) 423-523
Генеральный директор </t>
    </r>
    <r>
      <rPr>
        <sz val="9"/>
        <rFont val="Times New Roman"/>
        <family val="1"/>
        <charset val="204"/>
      </rPr>
      <t>Черных О.Г.</t>
    </r>
  </si>
  <si>
    <t>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t>
  </si>
  <si>
    <t>Реконструкция системы оперативного постоянного тока Усть-Илимской ГЭС (Строительно-монтажные  и пусконаладочные работы по замене оборудования и кабельных связей щита постоянного тока (ЩПТ) здания ГЭС)</t>
  </si>
  <si>
    <t xml:space="preserve">Модернизация автоматизированной системы опроса контрольно-измерительной аппаратуры за состоянием гидротехнических сооружений бетонной плотины (Строительно-монтажные  работы по  автоматизированной измерительной системе контроля состояния гидротехнических сооружений (секция 45 бетонной плотины).  </t>
  </si>
  <si>
    <t>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Вотенев А.А.</t>
  </si>
  <si>
    <t>23-12 от 17.08.2012</t>
  </si>
  <si>
    <t>Модернизация автоматизированной системы опроса контрольно-измерительной аппаратуры за состоянием гидротехнических сооружений бетонной плотины У-ИГЭС</t>
  </si>
  <si>
    <t>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Кузнецов С.В.</t>
  </si>
  <si>
    <t xml:space="preserve">Строительно-монтажные  работы по замене трансформаторов тока на присоединениях В-4Т-572, В-7Т-571, В-8Т-571 на объекте филиала ОАО "Иркутскэнерго" Усть-Илимская ГЭС "Реконструкция главной схемы ОРУ-500 с заменой трансформаторов тока  500 кВ". </t>
  </si>
  <si>
    <t>Комплекс работ по замене релейных защит генераторов 13Г, 14Г и трансформатора 7Т на микропроцессорные защиты по объекту филиала ОАО "Иркутскэнерго" Усть-Илимская ГЭС "Реконструкция типового блока 500 кВ. Реконструкция блока 8Т (РЗА)"</t>
  </si>
  <si>
    <t>Комплекс работ по объекту филиала ОАО "Иркутскэнерго" Усть-Илимская ГЭС "Реконструкция нежилого отдельно стоящего здания ГЭС, состоящего из 20 отметок,  общей площадью 46582,6м2".</t>
  </si>
  <si>
    <t>Строительно-монтажные  и пусконаладочные работы  по замене агрегатных собственных нужд 0,4 кВ по объекту филиала ОАО "Иркутскэнерго" Усть-Илимская ГЭС "Реконструкция типового блока 500 кВ  Реконструкция блока 8Т. АСН 0,4 кВ".</t>
  </si>
  <si>
    <t>Кран козловой 20ЛЭ 180/20/5 зав.№1 рег.№152</t>
  </si>
  <si>
    <t>Строительно-монтажные  и пусконаладочные работы по объекту филиала ОАО "Иркутскэнерго" Усть-Илимская ГЭС "Модернизация электрооборудования козлового крана зав.№1рег.№152".</t>
  </si>
  <si>
    <t>Ремонт металлоконструкций стелы УИГЭС  и площадки, прилегающей к зданию административно-производственного корпуса.</t>
  </si>
  <si>
    <t xml:space="preserve">Строительно-монтажные  и пусконаладочные работы по объекту филиала ОАО "Иркутскэнерго" Усть-Илимская ГЭС "Реконструкция агрегатных собственных нужд 0,4 кВ блока 2Т". </t>
  </si>
  <si>
    <t>Строительно-монтажные   работы по объекту филиала ОАО "Иркутскэнерго" Усть-Илимская ГЭС "Реконструкция устройств РЗА ВЛ 500 кВ Усть-Илимская ГЭС - Братская ГЭС (ВЛ571) с реализацией ОАПВ".</t>
  </si>
  <si>
    <t>Строительно-монтажные   работы по объекту филиала ОАО "Иркутскэнерго" Усть-Илимская ГЭС "ОРУ 220-500 кВ. Реконструкция устройств РЗА ВЛ 572 на У-ИГЭС с реализацией ОАПВ.</t>
  </si>
  <si>
    <t>Комплекс работ по объекту филиала ОАО "Иркутскэнерго" Усть-Илимская ГЭС "Модернизация (реконструкция) РЗА автотрансформаторов 1АТ, 2АТ".</t>
  </si>
  <si>
    <t>08С-13А от 24.03.2014</t>
  </si>
  <si>
    <t>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
Генподрядчик: ООО "Аргон"
666683, Иркутская область, г Усть-Илимск, ул. Героев Труда, д 49, кв. 85 
Директор Землякова Т.С.</t>
  </si>
  <si>
    <t>Строительно-монтажные   работы по объекту филиала ОАО "Иркутскэнерго" Усть-Илимская ГЭС "Реконструкция сегментного затвора водосливной секции бетонной плотины для обеспечения бесперебойного маневрирования в период отрицательных температур".</t>
  </si>
  <si>
    <t>Комплекс работ по объекту филиала ОАО "Иркутскэнерго" Усть-Илимская ГЭС "Техническое перевооружение сегментного затвора водосливной секции бетонной плотины для обеспечения беспрепятственного маневрирования в период отрицательных температур 48ЛЭ №7".</t>
  </si>
  <si>
    <t xml:space="preserve">Работы по строительству, реконструкции, капитальному ремонту по объекту филиала ОАО "Иркутскэнерго" Усть-Илимская ГЭС "Реконструкция типового блока 500кВ. Реконструкция блока 5Т. Реконструкция агрегатных собственных нужд 0,4кВ блока 5Т". </t>
  </si>
  <si>
    <t>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Вотенев А.А.
Генподрядчик: ЗАО «ЭК «ЭВАЛИС»
665821, РФ, Иркутская область, г. Ангарск,
ул. Карла Маркса 71
Генеральный директор  Борисов М.В.</t>
  </si>
  <si>
    <t>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Кузнецов С.В.
Генподрядчик: ЗАО «ЭК «ЭВАЛИС»
665821, РФ, Иркутская область, г. Ангарск,
ул. Карла Маркса 71
Генеральный директор  Борисов М.В.</t>
  </si>
  <si>
    <t xml:space="preserve">Работы по строительству, реконструкции, капитальному ремонту по объекту филиала ОАО "Иркутскэнерго" Усть-Илимская ГЭС "Реконструкция типового блока 500кВ Усть-Илимской ГЭС. Реконструкция блока 7Т. Реконструкция агрегатных собственных нужд 0,4кВ блока 7Т Усть-Илимской ГЭС (АСН)". </t>
  </si>
  <si>
    <t xml:space="preserve">
</t>
  </si>
  <si>
    <t>ОАО «Иркутскэнерго»
664025, г. Иркутск, ул. Сухэ-Батора,3
Генеральный директор Федоров Е.В.
Филиал ОАО "Иркутскэнерго" Иркутская ГЭС 
664056, г. Иркутск, Иркутская ГЭС, а/я 3408
тел.:  (3952)793-859,Факс:  (3952)793-856
Директор филиала Усов С.В.</t>
  </si>
  <si>
    <t>ОАО «Иркутскэнерго»
664025, г. Иркутск, ул. Сухэ-Батора,3
Генеральный директор Причко О.Н.
Филиал ОАО "Иркутскэнерго" Иркутская ГЭС 
664056, г. Иркутск, Иркутская ГЭС, а/я 3408
тел.:  (3952)793-859,Факс:  (3952)793-856
Директор филиала Усов С.В.</t>
  </si>
  <si>
    <t>Комплекс работ на объекте филиала ОАО "Иркутскэнерго"  Иркутская ГЭС "Гидрогенератор № 3 1180-160-72.
Замена системы тиристорного возбуждения. (инв. № 054362).
Гидрогенератор № 4 1180-160-72.
Замена системы тиристорного возбуждения. (инв. № 054363)".</t>
  </si>
  <si>
    <t>Комплекс работ на объекте филиала ОАО "Иркутскэнерго"  Иркутская ГЭС "Гидрогенератор № 6 1160-180-72.
Замена системы тиристорного возбуждения. 
Гидрогенератор № 7 1160-180-72.
Замена системы тиристорного возбуждения".</t>
  </si>
  <si>
    <t>ОАО «Иркутскэнерго»
664025, г. Иркутск, ул. Сухэ-Батора,3
Генеральный директор Федоров Е.В. 
Филиал ОАО "Иркутскэнерго" Иркутская ГЭС 
664056, г. Иркутск, Иркутская ГЭС, а/я 3408
тел.:  (3952)793-859,Факс:  (3952)793-856
Директор филиала Усов С.В.
Генподрядчик: ООО "ЕвроСибЭнерго-инжиниринг" 
 664050,г. Иркутск, ул. Байкальская, д. 259
тел.: (3952) 794-683, факс: (3952) 794-546
Генеральный директор Шарабурак В.А.</t>
  </si>
  <si>
    <t>Строительно-монтажные  и пусконаладочные  работы по объекту филиала ОАО "Иркутскэнерго"  Иркутская ГЭС: "Реконструкция схемы собственных нужд станции на напряжении 6 и 0,4 кВ. 4 пусковой комплекс".</t>
  </si>
  <si>
    <t xml:space="preserve">
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Упоров В.А.</t>
  </si>
  <si>
    <t>текущее время  
(на 12.2017 )</t>
  </si>
  <si>
    <t>Монтаж и пусконаладочные  работы силового оборудования Богучанской ГЭС.</t>
  </si>
  <si>
    <t>Выполнение комплекса электромонтажных и пусконаладочных работ собственных нужд, системы освещения и заземления Богучанской ГЭС.</t>
  </si>
  <si>
    <t>Монтаж и пусконаладочные  работы вторичного оборудования.</t>
  </si>
  <si>
    <t>2017</t>
  </si>
  <si>
    <t>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Волков В.А.</t>
  </si>
  <si>
    <t>Поставка материалов, осуществление монтажных  и пусконаладочных работ по второму этапу автоматизированной системы опроса контрольно-измерительной аппаратуры (АСО КИА) гидротехнических сооружений Богучанской ГЭС.</t>
  </si>
  <si>
    <t>текущее время  
(75% на 01.2018)</t>
  </si>
  <si>
    <t xml:space="preserve">12..2017 </t>
  </si>
  <si>
    <t>ОАО «Богучанская ГЭС»  
663491, г. Кодинск, стройбаза левого берега. Зд. 1, объединённая база №1 а/я 132 
тел.(39143) 3-10-00, 7-13-96
Генеральный директор Терешков Н.Н.</t>
  </si>
  <si>
    <t>Работы по Аварийно-восстановительному ремонту (АВР) блочного трансформатора Т2 типа ТЦ 400000/500 УХЛ1, зав.№159932</t>
  </si>
  <si>
    <t xml:space="preserve">Аварийно-восстановительный ремонт (АВР) блочного трансформатора Т2 типа ТЦ 400000/500 УХЛ1 </t>
  </si>
  <si>
    <t>Работы по определению источника повышенного газовыделения в блочном трансформаторе Т7 типа ТЦ-400000/220-УХЛ1 (зав.№159935)</t>
  </si>
  <si>
    <t>Работы по ремонту блочного трансформатора Т-2 типа ТЦ-400000/500-УХЛ1, зав. №159932</t>
  </si>
  <si>
    <t>ОАО «Богучанская ГЭС»  
663491, г. Кодинск, стройбаза левого берега. Зд. 1, объединённая база №1 а/я 132 
тел.(39143) 3-10-00, 7-13-96
Генеральный директор Демченко В.В.</t>
  </si>
  <si>
    <t>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Упоров В.А.
Генподрядчик: ЗАО «Электротехническая компания», 614111, Пермский край, г. Пермь, ул. Солдатова, 29/2   Тел./ф. (342)242-00-00, Генеральный директор Потанин В.А.</t>
  </si>
  <si>
    <t>Комплекс работ по монтажу кабельных линий XLPE 500 кВ и 220кВ Богучанской ГЭС</t>
  </si>
  <si>
    <t>Монтаж оборудования КРУЭ 500 кВ КРУЭ 220 кВ Богучанской ГЭС</t>
  </si>
  <si>
    <t>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Упоров В.А.
Подрядчик: АО "Гидроэлектромонтаж"
675000, Амурская область, г. Благовещенск, ул. Зейская, 225/3
Генеральный директор В.А. Васильев</t>
  </si>
  <si>
    <t>Работы по монтажу оборудования КРУЭ220 кВ по титулу "КРУЭ 220кВ Богучанской ГЭС".</t>
  </si>
  <si>
    <t>Работы по устройству временной системы отопления помещений КРУЭ 220 кВ Богучанской ГЭС на период монтажных работ.</t>
  </si>
  <si>
    <t>КГКУ «Дирекция по комплексному развитию Нижнего Приангарья» (КГКУ «ДКР НП»)
660017, г. Красноярск, ул. Урицкого, д. 123,    тел. (391) 227-81-31 факс: (391)227-81-53 Генподрядчик: ООО «Инжиниринговый центр Энерго»   660049, г. Красноярск, ул. Дубровинского, д. 100  Тел.: (391) 266-07-34 
Директор Цинадзе Д.Р.        
Управляющий директор Шеховцев Г.В.</t>
  </si>
  <si>
    <t>Монтаж кабельных линий XLPE 500 кВ . Изготовление и монтаж металлоконструкций для прокладки кабеля 500кВ. Пусконаладочные работы.</t>
  </si>
  <si>
    <t>Работы по строительству линии электропередач (ВЛ 10 кВ) по опорам с 1 по 69 до базы службы эксплуатации Богучанской ГЭС (г. Кодинск, Кежемский р-н, Красноярский край).</t>
  </si>
  <si>
    <t>Строительно-монтажные  и пусконаладочные работы по системе мониторинга переходных режимов  БоГЭС</t>
  </si>
  <si>
    <t>01/2011-ГЭМ от 17.01.2011</t>
  </si>
  <si>
    <t>ОАО «Иркутскэнерго»
664025, г. Иркутск, ул. Сухэ-Батора,3
Генеральный директор Федоров Е.В..  
Филиал ОАО "Иркутскэнерго" 
Усть-Илимская ТЭЦ
666684 Иркутская область, г.Усть-Илимск-14, а/я 330 тел. (39535) 9 53 59
Директор филиала Матлашевский Ю.А.</t>
  </si>
  <si>
    <t>Ремонт кабельные трасс контрольно-измерительных приборов  и автоматики на филиале ОАО "Иркутскэнерго" 
Усть-Илимская ТЭЦ</t>
  </si>
  <si>
    <t>Электромонтажные   работы на объекте филиала ОАО "Иркутскэнерго" 
Усть-Илимская ТЭЦ "Модернизация средств контроля и управления технологическим процессом к/а ст.№2"</t>
  </si>
  <si>
    <t xml:space="preserve">Капитальный ремонт кабельных трасс котлоагрегата ст. №2 цеха тепловой автоматики и измерений на филиале ОАО "Иркутскэнерго" Усть-Илимская ТЭЦ </t>
  </si>
  <si>
    <t xml:space="preserve">Капитальный ремонт  трасс температурного контроля котлоагрегата  ст. №3 цеха тепловой автоматики и измерений на филиале ОАО "Иркутскэнерго" Усть-Илимская ТЭЦ </t>
  </si>
  <si>
    <t>Электромонтажные   работы на объекте филиала ОАО "Иркутскэнерго" 
Усть-Илимская ТЭЦ "Модернизация сетевого насоса левого берега с установкой гидромуфты;
Установка регуляторов на сливе с расширителей непрерывной продувки к/а 1-5,7 (к.а.ст.№7)"</t>
  </si>
  <si>
    <t>Ремонт кабельных связей системы вибромониторинга турбины ст. №1</t>
  </si>
  <si>
    <t>Ремонт кабельных трасс т/а ст. №3, питательно-деаэраторных установок (ПДУ) 1-4.</t>
  </si>
  <si>
    <t>Капитальный ремонт кабельных трасс турбоагрегата  ст. № 1</t>
  </si>
  <si>
    <t>Кабельные трассы температурного контроля и дистанционного управления регулирующей арматуры котлоагрегата ст. №4, электропривода 3ПТС-15, ОС-13А</t>
  </si>
  <si>
    <t>Капитальный ремонт кабельных трасс температурного контроля и дистанционного управления регулирующей арматуры котлоагрегата ст. №4, электропривода 3ПТС-15, ОС-13А</t>
  </si>
  <si>
    <t>Электромонтажные   работы по объектам филиала ОАО "Иркутскэнерго"  Усть-Илимская ТЭЦ: "Модернизация системы управления и контроля кислородного хозяйства. Реконструкция схемы обдувки ОГ-1-8, АВО 1-6, ОМ 1-20 котлоагрегата ст.№1".</t>
  </si>
  <si>
    <t xml:space="preserve">ОАО «Иркутскэнерго»
664025, г. Иркутск, ул. Сухэ-Батора,3
Генеральный директор Причко О.Н. 
Филиал ОАО "Иркутскэнерго" Братская ГЭС
665709, г. Братск, а/я783
факс (3953)323 367, тел. 323 359
Директор филиала Вотенев  А.А.
Генподрядчик: ООО "НПФ "Ракурс"
198095, г. Санкт-Петербург, 
Химический пер.,  д.1 корп.2 
тел. (812)252 32 44, 252 64 79
Генеральный директор Чернигов Л.М.
</t>
  </si>
  <si>
    <t xml:space="preserve">Комплекс работ по замене релейных защит генераторов 13Г, 14Г и трансформатора 7Т на микропроцессорные защиты по объекту филиала ОАО "Иркутскэнерго" Усть-Илимская ГЭС "Реконструкция типового блока 500 кВ. Реконструкция блока 7Т". </t>
  </si>
  <si>
    <t xml:space="preserve">Работы в отношении 11(Одиннадцати) комплектов оборудования </t>
  </si>
  <si>
    <t>ОАО «Иркутскэнерго»
664025, г. Иркутск, ул. Сухэ-Батора,3
Генеральный директор Федоров Е.В..  
Филиал ОАО "Иркутскэнерго" 
Усть-Илимская ТЭЦ
666684 Иркутская область, г.Усть-Илимск-14, а/я 330 тел. (39535) 9 53 59
Директор филиала Клабуков В.С.</t>
  </si>
  <si>
    <t>ОАО «Иркутскэнерго»
664025, г. Иркутск, ул. Сухэ-Батора,3
Генеральный директор Федоров Е.В..  
Филиал ОАО "Иркутскэнерго" 
Усть-Илимская ТЭЦ
666684 Иркутская область, г.Усть-Илимск-14, а/я 330 тел. (39535) 9 53 59
Директор филиала Кровушкин А.В.</t>
  </si>
  <si>
    <t>ОАО «Иркутскэнерго»
664025, г. Иркутск, ул. Сухэ-Батора,3
Генеральный директор Причко О.Н.
Филиал ОАО "Иркутскэнерго" 
Усть-Илимская ТЭЦ
666684 Иркутская область, г.Усть-Илимск-14, а/я 330 тел. (39535) 9 53 59
Директор филиала Кровушкин А.В.</t>
  </si>
  <si>
    <t>Комплекс работ на объекте филиала ОАО "Иркутскэнерго" Усть-Илимская ТЭЦ: "Модернизация системы возбуждения турбогенератора ст. №5"</t>
  </si>
  <si>
    <t xml:space="preserve">Ремонтные работы следующего содержания: АКЗ металлоконструкций ГК </t>
  </si>
  <si>
    <t>Комплекс работ на объекте филиала ОАО "Иркутскэнерго" Усть-Илимская ТЭЦ: "Модернизация сетевого насоса промплощадки с установкой частотно-регулируемого привода".</t>
  </si>
  <si>
    <t>Комплекс работ на объекте филиала ОАО "Иркутскэнерго" Усть-Илимская ТЭЦ: "Установка частотного регулируемого привода на рабочих машинах (насосах) ПКНС (инв.№24000053)".</t>
  </si>
  <si>
    <t>Комплекс работ на объекте филиала ОАО "Иркутскэнерго" Усть-Илимская ТЭЦ: "Установка частотного регулируемого привода на рабочих машинах (насосах) ГКНС (инв.№24000047)".</t>
  </si>
  <si>
    <t>Установка частотного регулируемого привода на рабочих машинах (насосах) ПКНС  (инв.№24000053)</t>
  </si>
  <si>
    <t>Установка частотного регулируемого привода на рабочих машинах (насосах) ГКНС (инв.№24000047)</t>
  </si>
  <si>
    <t xml:space="preserve">Ремонт площадок обслуживания КВО
</t>
  </si>
  <si>
    <t xml:space="preserve">ОАО «Иркутскэнерго»
664025, г. Иркутск, ул. Сухэ-Батора,3
Генеральный директор Причко О.Н. 
Филиал ОАО "Иркутскэнерго" ТЭЦ-6
Иркутская область г. Братск-18, а/я 428 Тел.(395-3) 45-60-25, (395-3) 49-13-59 
Директор филиала
Коноплев Сергей Иванович
</t>
  </si>
  <si>
    <t>Кран мостовой г/п 30/5 тн. Тех. перевооружение электрооборудования и  кабины (инв.14800016081)</t>
  </si>
  <si>
    <t>Строительно-монтажные   работы на объекте филиала ОАО "Иркутскэнерго" ТЭЦ-6: "Кран мостовой г/п 30/5 тн. Тех. перевооружение электрооборудования и  кабины (инв.14800016081)".</t>
  </si>
  <si>
    <t>015/2015-ГЭМ от 30.11.2015</t>
  </si>
  <si>
    <t>Аккумуляторная батарея №5. Замена ЩПТ-5 с аккумуляторной батареей (инв.№140148)</t>
  </si>
  <si>
    <t>Строительно-монтажные   работы по объекту филиала ОАО "Иркутскэнерго" ТЭЦ-10: "Аккумуляторная батарея №5. Замена ЩПТ-5 с аккумуляторной батареей (инв.№140148)"</t>
  </si>
  <si>
    <t xml:space="preserve">Ремонт электротехнического оборудования:
 -Ремонт электроосвещения электроцеха;
 -Ремонт освещения дымовой трубы ст.№2; 
 -Монтаж контура заземления оперативной лаборатории для филиала ОАО "Иркутсуэнерго" ТЭЦ-16 </t>
  </si>
  <si>
    <t>ОАО «Иркутскэнерго»
664025, г. Иркутск, ул. Сухэ-Батора,3
Генеральный директор Федоров Е.В. 
Филиал ОАО "Иркутскэнерго" ТЭЦ-16
665651 Иркутская область, г. Железногорск-Илимский, 1 п/о, а/я 18. 
Тел.(39566) 2-61-59 (39566) 2-61-59
Директор филиала 
Черкасов Сергей Иванович</t>
  </si>
  <si>
    <t>ОАО «Иркутскэнерго»
664025, г. Иркутск, ул. Сухэ-Батора,3
Генеральный директор Причко О.Н. 
Филиал ОАО "Иркутскэнерго" ТЭЦ-10
665828 Иркутская область, г. Ангарск, а/я 1199 Тел.(3955) 501-359, 54-00-24  
Директор филиала 
Одяков Игорь Геннадьевич</t>
  </si>
  <si>
    <t>ОАО «Иркутскэнерго»
664025, г. Иркутск, ул. Сухэ-Батора,3
Генеральный директор Федоров Е.В.
Филиал ОАО "Иркутскэнерго" Ново-Иркутская ТЭЦ   
664043, Иркутская область, г. Иркутск, бульвар Рябикова, 67. Тел.(395-2) 795-309
Директор филиала Матлашевский Юрий Афанасьевич</t>
  </si>
  <si>
    <t>ОАО «Иркутскэнерго»
664025, г. Иркутск, ул. Сухэ-Батора,3
Генеральный директор Причко О.Н
Филиал ОАО "Иркутскэнерго" Ново-Иркутская ТЭЦ   
664043, Иркутская область, г. Иркутск, бульвар Рябикова, 67. Тел.(395-2) 795-309
Директор филиала Матлашевский Юрий Афанасьевич</t>
  </si>
  <si>
    <t>Строительно-монтажные, пусконаладочные работы и поставка оборудования по объекту филиала ОАО "Иркутскэнерго" Ново-Иркутская ТЭЦ в г. Иркутске: "Реконструкция схемы СН 2 очереди с заменой ТСР-2 на трансформатор ТРДНС-40000/220/6,3" инв № 1740700684</t>
  </si>
  <si>
    <t>Реконструкция схемы СН 2 очереди с заменой ТСР-2 на трансформатор ТРДНС-40000/220/6,3  инв № 1740700684</t>
  </si>
  <si>
    <t>Строительно-монтажные работы по объекту филиала ОАО "Иркутскэнерго" Ново-Иркутская ТЭЦ: "Реконструкция ДЗШТ-220 кВ с заменой на микропроцессорные" инв № 1740700684</t>
  </si>
  <si>
    <t>1-14 НИ/БЭМ от 28.04.2014</t>
  </si>
  <si>
    <t>Турбоагрегат станции №6</t>
  </si>
  <si>
    <t>0499/2013-а 
от 10.06.2013</t>
  </si>
  <si>
    <t>9.4</t>
  </si>
  <si>
    <t>9.5</t>
  </si>
  <si>
    <t>9.6</t>
  </si>
  <si>
    <t>9.7</t>
  </si>
  <si>
    <t>0500/2013-а 
от 10.06.2013</t>
  </si>
  <si>
    <t>0490/2013-э-в от 11.06.2013</t>
  </si>
  <si>
    <t xml:space="preserve">Электромонтажные работы следующего содержания: "Раскладка кабеля в главном корпусе" по объекту: Турбоагрегат ст. №6 Ново-Иркутской ТЭЦ </t>
  </si>
  <si>
    <t>0491/2013-э-в от 11.06.2013</t>
  </si>
  <si>
    <t xml:space="preserve">Электромонтажные работы следующего содержания: 
 -Монтаж кабельных конструкций. Кабельное хозяйство в главном корпусе;
 -Заземление машинного отделения в главном корпусе;
 -Монтаж электрооборудования. Выводы генератора;
 - Приобретение и монтаж электрооборудования по объекту: Ново-Иркутская ТЭЦ Турбоагрегат ст. №6  </t>
  </si>
  <si>
    <t xml:space="preserve">050000/2013-а
0490/2013-э-в
0491/2013-э-в
0499/2013-э-в
0569/2013-а
</t>
  </si>
  <si>
    <t>0569/2013-а от 08.07.2013</t>
  </si>
  <si>
    <t>Строительно-монтажные работы по объекту филиала ОАО "Иркутскэнерго" Ново-Иркутская ТЭЦ в г. Иркутске: "Внедрение полномасштабной АСУ ТП к/а ст.№6", инв № 1740000978</t>
  </si>
  <si>
    <r>
      <t xml:space="preserve">ОАО «Иркутскэнерго»
664025, г. Иркутск, ул. Сухэ-Батора,3
Генеральный директор Причко О.Н. 
Филиал ОАО "Иркутскэнерго" Ново-Иркутская ТЭЦ   
664043, Иркутская область, г. Иркутск, бульвар Рябикова, 67. Тел.(395-2) 795-309
Директор филиала Матлашевский Ю.А.
Генподрядчик: ООО «ЕвроСибЭнерго-инжиниринг»  
 664050,г. Иркутск, ул. Байкальская, д. 259
тел.: (3952) 794-683, факс: (3952) 794-546
</t>
    </r>
    <r>
      <rPr>
        <sz val="9"/>
        <rFont val="Times New Roman"/>
        <family val="1"/>
        <charset val="204"/>
      </rPr>
      <t>Директор филиала на территории Иркутской обл. Говоруха А.Н.</t>
    </r>
    <r>
      <rPr>
        <sz val="9"/>
        <color theme="1"/>
        <rFont val="Times New Roman"/>
        <family val="1"/>
        <charset val="204"/>
      </rPr>
      <t xml:space="preserve">
Подрядчик: ЗАО "Иркутскэнергоремонт" 
664050, г. Иркутск, ул. Байкальская 259, а/я 370, тел.(3952) 794-652 
Генеральный директор Ганжа О.В.</t>
    </r>
  </si>
  <si>
    <t xml:space="preserve">ОАО «ФСК ЕЭС» 
117630, г. Москва, ул. Академика Челомея, д.5А.,
Генподрядчик: ЗАО «Электротехническая компания»  614111, Пермский край, г. Пермь, ул. Солдатова, 29/2   Тел./ф. (342)242-00-00, Генеральный директор Потанин В.А.            </t>
  </si>
  <si>
    <t xml:space="preserve">ОАО «ФСК ЕЭС» 117630, г. Москва, ул. Академика Челомея, д.5А. 
Филиал ОАО «ФСК ЕЭС»- ОАО "ЦИУС ЕЭС"-ЦИУС Сибири.
660099, Красноярский край, г. Красноярск, ул. Горького, д.3А, тел. (391) 274-67-00 </t>
  </si>
  <si>
    <t xml:space="preserve"> ПС "Ангара" 
 п. Таежный,  Богучанском район, Красноярский край
</t>
  </si>
  <si>
    <t>Работы по монтажу шинных опор, монтажу ошиновки на ОРУ 220 кВ ПС "Ангара" для подключения ячеек №3-4.</t>
  </si>
  <si>
    <t>11</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</si>
  <si>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</si>
  <si>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Проектно-изыскательские, строительно-монтажные  и пусконаладочные  работы по объекту: "ПС-110/6 кВ "Верхнемарково" с отпайкой ВЛ-110 кВ "</t>
  </si>
  <si>
    <t>21 от 11.04.2011</t>
  </si>
  <si>
    <t>Строительно-монтажные  и пусконаладочные  работы по объекту: "Реконструкция ПС-110/35/10 кВ "Киренская"</t>
  </si>
  <si>
    <t>12.1</t>
  </si>
  <si>
    <t>12.2</t>
  </si>
  <si>
    <t>12.3</t>
  </si>
  <si>
    <t>12.4</t>
  </si>
  <si>
    <t>41 от 14.07.2011</t>
  </si>
  <si>
    <t>Строительно-монтажные  и пусконаладочные  работы по объекту: "Реконструкция ПС-110/35/10 кВ "Киренская" (сети связи)</t>
  </si>
  <si>
    <t xml:space="preserve">5 от 18.07.2012 </t>
  </si>
  <si>
    <t>Комплекс работ по объекту: "Реконструкция ПС-110/35/10 кВ "Киренская"</t>
  </si>
  <si>
    <t xml:space="preserve">
</t>
  </si>
  <si>
    <t>18 от 26.07.13</t>
  </si>
  <si>
    <t>13.1</t>
  </si>
  <si>
    <t>13.2</t>
  </si>
  <si>
    <t>13.3</t>
  </si>
  <si>
    <t>13.4</t>
  </si>
  <si>
    <t>3 от 28.03.2012</t>
  </si>
  <si>
    <t>20 от 11.04.2011</t>
  </si>
  <si>
    <t xml:space="preserve">Строительно-монтажные  и пусконаладочные  работы по объекту: "Реконструкция ПС 220/110/35/6кВ "Лена". II пусковой комплекс" </t>
  </si>
  <si>
    <t>8 от 19.04.2012</t>
  </si>
  <si>
    <t>Комплекс работ под ключ по объекту: "АОСН-110 кВ ПС Лена"</t>
  </si>
  <si>
    <t>16 от 07.06.2013</t>
  </si>
  <si>
    <t>Комплекс работ по объекту: "Строительство ПС 27,5/6 кВ "Шестаково"  с отходящей ВЛ-6кВ"</t>
  </si>
  <si>
    <t>4 от 24.05.2012</t>
  </si>
  <si>
    <t>Комплекс работ по объекту: "Реконструкция ПС-35/6кВ "Новый Невон" и ВЛ-110кВ"</t>
  </si>
  <si>
    <t>15.1</t>
  </si>
  <si>
    <t>15.2</t>
  </si>
  <si>
    <t>Комплекс работ по объекту: "Реконструкция ПС-35/6кВ "Новый Невон" и ВЛ-110кВ", включающий в себя демонтаж сетей 0,4-10 кВ в п. Кеуль</t>
  </si>
  <si>
    <t>Комплекс работ по объекту: "Замена АТ-1  на ПС "Падунская" с 63 на 125 МВА"</t>
  </si>
  <si>
    <t>ПС 220/110/10 кВ "Опорная"
Реконструкция ПС
г. Братск, Иркутская обл.</t>
  </si>
  <si>
    <t>Строительно-монтажные работы по объекту "ПС 220/110/10 кВ "Заводская",  "Опорная". Замена вводов".</t>
  </si>
  <si>
    <t>17 от 31.05.2013</t>
  </si>
  <si>
    <t xml:space="preserve">11 от 22.04.2013
</t>
  </si>
  <si>
    <t>16 от 24.08.2012</t>
  </si>
  <si>
    <t>7 от 21.06.2012</t>
  </si>
  <si>
    <t xml:space="preserve">6 от 18.07.2012
</t>
  </si>
  <si>
    <t>Строительно-монтажные и пусконаладочные работы по объекту: "Установка дуговых защит РП".</t>
  </si>
  <si>
    <t>Строительно-монтажные и пусконаладочные работы по объекту: "Реконструкция телемеханики на ПС СЭС".</t>
  </si>
  <si>
    <t>ПС 35/10 " Большеокинск", ПС 35/10 "Калтук",  ПС 35/10 "Кардой",  ПС 35/10 "Новая Коршуниха", ПС 35/10 "Заморский", ПС 35/10 "Дальний" 
Реконструкция ПС  
Иркутская  обл.</t>
  </si>
  <si>
    <t>Строительно-монтажные и пусконаладочные работы по объекту: "Замена АБ И ВАЗП на ПС СЭС" (ПС "Коршуниха")</t>
  </si>
  <si>
    <t>ПС 220/110/35/6 кВ "Коршуниха"
Реконструкция   
Иркутская обл.</t>
  </si>
  <si>
    <t>15р-2015об от 29.05.2015</t>
  </si>
  <si>
    <t xml:space="preserve">91 от 03.06.2014
</t>
  </si>
  <si>
    <t>51 от 04.09.2013</t>
  </si>
  <si>
    <t>81 от 18.02.2014</t>
  </si>
  <si>
    <t>ПС 220/110/35/6 кВ "Коршуниха", ПС "Н-Коршуниха", ПС "СПП-220"
Иркутская обл.</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</si>
  <si>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</si>
  <si>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Капитальный ремонт оборудования РЭС-1, СПС, для нужд Филиала ОАО "ИЭСК" "Северные электрические сети"</t>
  </si>
  <si>
    <t xml:space="preserve">Поставка оборудования, строительно-монтажные и  пусконаладочные работы по объекту: "Реконструкция ПС 110/10 кВ "Северная" 
</t>
  </si>
  <si>
    <t>Строительно-монтажные и пусконаладочные работы по объекту: "Реконструкция ПС 220/110/35/10 кВ "Байкальская"  (I этап)</t>
  </si>
  <si>
    <t>Строительно-монтажные и пусконаладочные работы по противоаварийной автоматике по объекту: "Реконструкция ПС 220/110/35/10 кВ "Байкальская" с переводом ПС-35 кВ Лисиха в РП - 10 кВ" I этап</t>
  </si>
  <si>
    <t xml:space="preserve">ПС 110/10 кВ "Пивзавод"
Иркутская обл.
Реконструкция ПС </t>
  </si>
  <si>
    <t>26</t>
  </si>
  <si>
    <t>Такелаж трансформаторов ТРДН-25000/110 кВ по объекту капстроительства: "Расширение ПС 110/6 кВ "Знаменская" (II Пусковой комплекс)</t>
  </si>
  <si>
    <t>Строительно-монтажные и наладочные работы по объекту: "Замена выключателей 110кВ на элегазовые ПС 110/6 кВ "Рудная" (2 шт).</t>
  </si>
  <si>
    <t xml:space="preserve">ПС 220/10/10 кВ "Бытовая" 
ПС Кировская
Иркутская обл.
Реконструкция ПС    </t>
  </si>
  <si>
    <t>Строительно-монтажные и наладочные работы по объекту: "Замена выключателя 220кВ на элегазовый ПС 220/10/10 кВ "Бытовая"  (2 шт).</t>
  </si>
  <si>
    <t>Строительно-монтажные и наладочные работы по объекту: "Замена аккумуляторных батарей на ПС Бытовая, ПС Кировская.</t>
  </si>
  <si>
    <t xml:space="preserve">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ЮЭС Черняков В.И. </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</si>
  <si>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ЮЭС Гордеев А.П.</t>
  </si>
  <si>
    <t>ОАО «Иркутская электросетевая компания»
664033, г. Иркутск, ул. Лермонтова 257,
Тел: (3952) 792-459 
Факс: (3952) 792-461
Генеральный директор Б.Н. Каратаев
Филиал ОАО «Иркутская электросетевая компания» Восточные электрические сети
Директор филиала ВЭС Садохин А.И.                 664047, Иркутская область, г. Иркутск, ул. Депутатская, д.38
Тел./факс.: 8(395-2)794-859, 8(395-2) 794-811</t>
  </si>
  <si>
    <t>ПС 110/10кВ Покровская
Строительство ПС
Иркутский р-н, пос. Пивовариха</t>
  </si>
  <si>
    <t xml:space="preserve">Строительство объекта  "под ключ":
 "ПС 110/10кВ Покровская с ВЛ 110кВ в габаритах 220 кВ"
</t>
  </si>
  <si>
    <t xml:space="preserve">"ПС 35/10 кВ "Черноруд"
Реконструкция ПС
Иркутская обл.
</t>
  </si>
  <si>
    <t>Строительно-монтажные и пусконаладочные  работы по реконструкции объекта ПС-35/10 кВ Черноруд инв. № 6000915319 (перевод на напряжение 110 кВ) по первому пусковому комплексу.</t>
  </si>
  <si>
    <t xml:space="preserve">Промплощадка разреза Азейский - ПС500 Тулун
Иркутская обл. 
</t>
  </si>
  <si>
    <t>Ремонт, транспортировка к месту ремонта и такелаж трансформатора ТДТН 25000/110  (Промплощадка разреза Азейский - ПС 500 Тулун) филиала ОАО "ИЭСК" ЗЭС.</t>
  </si>
  <si>
    <t>119/ЗЭС от 20.08.13</t>
  </si>
  <si>
    <t>34</t>
  </si>
  <si>
    <r>
      <t xml:space="preserve">ОАО «Иркутская электросетевая компания»
664033, г. Иркутск, ул. Лермонтова 257,
Тел: (3952) 792-459
Генеральный директор Б.Н. Каратаев
Южные электрические сети
Директор филиала ЮЭС Гордеев А.П. 
664056, г. Иркутск, ул. Безбокова, 38
Тел./факс.: (3952) 793-203   
</t>
    </r>
    <r>
      <rPr>
        <sz val="9"/>
        <rFont val="Times New Roman"/>
        <family val="1"/>
        <charset val="204"/>
      </rPr>
      <t xml:space="preserve">Генподрядчик  ООО «ЕвроСибЭнерго-инжиниринг»  
664050,г. Иркутск, ул. Байкальская, д. 259
тел.: (3952) 794-683, факс: (3952) 794-546
</t>
    </r>
  </si>
  <si>
    <t>ОАО «Иркутская электросетевая компания»
664033, г. Иркутск, ул. Лермонтова 257,Тел: (3952) 792-459 Факс: (3952) 792-461
Генеральный директор Б.Н. Каратаев
Филиал Западные электрические сети 
665253 г.Тулун, пер.Энергетиков 6. 
Директор Терских Ю.Н..</t>
  </si>
  <si>
    <t>Комплекс электромонтажных и пусконаладочных работ по объекту: 
"ПС 220/110/10 кВ Восточная".</t>
  </si>
  <si>
    <r>
      <t xml:space="preserve">ОАО «Иркутская электросетевая компания»
664033, г. Иркутск, ул. Лермонтова 257,
Тел: (3952) 792-459
Генеральный директор Б.Н. Каратаев
Центральные электрические сети
665812, Иркутская область, г. Ангарск, ул.Б.Хмельницкого, 22, тел.(3955)502740
</t>
    </r>
    <r>
      <rPr>
        <sz val="9"/>
        <rFont val="Times New Roman"/>
        <family val="1"/>
        <charset val="204"/>
      </rPr>
      <t>Генподрядчик  ООО «ЕвроСибЭнерго-инжиниринг»
 664050,г. Иркутск, ул. Байкальская, д. 259
тел.: (3952) 794-683, факс: (3952) 794-546
Генеральный директор Колокольцев А.А.</t>
    </r>
  </si>
  <si>
    <t>Комплекс работ, необходимых для строительства объектов:
ПС 110/10 кВ "Еловка"; 
Заход ВЛ-110 кВ "ТЭЦ-10 - Мегет" на ПС 110/10 кВ "Еловка".</t>
  </si>
  <si>
    <t xml:space="preserve">ОАО "СУАЛ"
623406 Свердловская обл., г. Каменск-Уральский, ул.Заводская,10
Филиал «ИркАЗ-СУАЛ» ОАО "СУАЛ"
 666034, г. Шелехов ул. Индустриальная,4
Тел. (39510) 9-42-13 
</t>
  </si>
  <si>
    <t>36.1</t>
  </si>
  <si>
    <t xml:space="preserve">Монтаж автотрансформатора ТЗС (АТ-3) на ПС 500/220 "Шелеховская" (Ключи) </t>
  </si>
  <si>
    <t xml:space="preserve">Электромонтажные работы на ПС 500/220 "Шелеховская" (Ключи) </t>
  </si>
  <si>
    <t>36.2</t>
  </si>
  <si>
    <t>36.3</t>
  </si>
  <si>
    <t xml:space="preserve">ПС500/220 кВ "Шелеховская" (Ключи)
 г.Шелехово, Иркутская обл. Реконструкция ПС   </t>
  </si>
  <si>
    <t>Электромонтажные работы по монтажу высоковольтного оборудования на ОРУ-500 кВ на ПС500/220 кВ "Шелеховская"</t>
  </si>
  <si>
    <t xml:space="preserve">Электромонтажные  работы на ячейках "А" и "Б" по ПС 220/110 кВ "Шелехово". </t>
  </si>
  <si>
    <t>ОАО «Иркутская электросетевая компания»
664033, г. Иркутск, ул. Лермонтова 257,
Тел: (3952) 792-459 
Факс: (3952) 792-461
Генеральный директор Б.Н. Каратаев
Южные электрические сети
Директор филиала ЮЭС Черняков В.И.  664056, г. Иркутск, ул. Безбокова, 38
Тел./факс.: (3952) 793-203</t>
  </si>
  <si>
    <t xml:space="preserve">Монтаж управляемого шунтирующего реактора РТУ-180000/500. Демонтаж старого оборудования и ошиновки 500кВ, 110кВ. Монтаж выключателей, разъединителей, трансформаторов тока и напряжения 500кВ. Изготовление и монтаж металлоконструкций  под оборудование 500, 110кВ, порталов 500кВ. Монтаж кабельных лотков и прокладка кабелей. Монтаж контура заземления ПС. Монтаж ошиновки ОРУ 500кВ.
Монтаж автотрансформаторов АОДЦН-167000/500/220 - 3 шт.  Монтаж электрооборудования 500кВ и жесткой ошиновки 500кВ, 220кВ. Устройство фундаментов под оборудование и жесткую ошиновку 220кВ. Изготовление и монтаж металлоконструкций под оборудование и жесткую ошиновку 500кВ, 220кВ. Монтаж кабельно-проводниковой продукции, монтаж ОРУ-35кВ </t>
  </si>
  <si>
    <t xml:space="preserve">Работы по монтажу основного коммутационного оборудования 500 кВ, 220 кВ, 35 кВ, 10 кВ, а также "жесткой ошиновки" 500 кВ, 220 кВ, включая металлоконструкции, контрольного и силового кабеля 0,4 кВ. щитов переменного ~0,4 кВ и постоянного =220В тока, аккумуляторных батарей, панелей РЗА, ПА, АСУ ТП, охранного освещения и систем видеонаблюдения, порталов и молниеотводов первого пускового комплекса объектов внешнего электроснабжения опорной подстанции 500 кВ для приема мощности Богучанской ГЭС и развития Тайшетского промузла: "Расширение и реконструкция ПС 500/110/35кВ Тайшет", "Строительство ПС 500/220/35кВ "Озёрная".
</t>
  </si>
  <si>
    <t>Ремонт электротехнического оборудования:
 -Монтаж частотного регулирования ЛК-1;
 -Замена светильников приводных и натяжных станций ЛК  для филиала ОАО "Иркутскэнерго" ТЭЦ-19</t>
  </si>
  <si>
    <t>Электромонтажные работы по: "Монтажу вторичной коммутации элементов главной схемы, собственных нужд, электрооборудования тиристорной системы возбуждения по объекту: Турбоагрегат ст. №6 Ново-Иркутской ТЭЦ"</t>
  </si>
  <si>
    <t>Электромонтажные работы по: "Монтаж кабелей управления и сигнализации РЗиА по объекту: Турбоагрегат ст. №6 Ново-Иркутской ТЭЦ"</t>
  </si>
  <si>
    <t>ПС 27,5/6 кВ "Шестаково"  с отходящей ВЛ-6кВ
Строительство ПС
п. Шестаково, Нижнеилимский р-н, Иркутская обл.</t>
  </si>
  <si>
    <t>Строительно-монтажные и пусконаладочные работы по объекту "Замена АБ и ВАЗП на ПС СЭС" (ПС "Опорная")</t>
  </si>
  <si>
    <t>Реконструкция объекта: "Замена выключателей 110 кВ на 2011год" в составе: "Замена выключателя 110 кВ СВ-110 кВ ПС Пивзавод"</t>
  </si>
  <si>
    <t xml:space="preserve">Строительно-монтажные и пусконаладочные  работы по титулу: "Замена аккумуляторных батарей" в составе "ПС 220 кВ "Правобережная". </t>
  </si>
  <si>
    <t>Капитальный ремонт и наладочные работы по объекту: Замена ввода 220 кВ ф. С на ОВ-2-220 ПС Шелехово, замена ШОН на ВЛ-220 кВ ЩБЦ-269 ПС Шелехово</t>
  </si>
  <si>
    <t>ОАО «Иркутская электросетевая компания»
664033, г. Иркутск, ул. Лермонтова 257,Тел: (3952) 792-459 Факс: (3952) 792-461
Генеральный директор Б.Н. Каратаев
Филиал Западные электрические сети 
665253 г.Тулун, пер. Энергетиков 6. 
Директор Терских Ю.Н.
Генподрядчик: ООО «ЕвроСибЭнерго-инжиниринг» 
664050,г. Иркутск, ул. Байкальская, д. 259
тел.: (3952) 794-683, факс: (3952) 794-546
Генеральный директор Шарабурак В.А.</t>
  </si>
  <si>
    <t xml:space="preserve">ОАО «ФСК ЕЭС»                
117630, г. Москва, ул. Академика Челомея, д.5А.
Генподрядчик  ООО «ЕвроСибЭнерго-инжиниринг» 
 664050,г. Иркутск, ул. Байкальская, д. 259
тел.: (3952) 794-683, факс: (3952) 794-546
</t>
  </si>
  <si>
    <t xml:space="preserve">ПС 500/110/35кВ Тайшет.
Расширение и реконструкция ПС. 
г. Тайшет, Иркутской области 
ПС 500/220/35кВ Озерная.
Строительство ПС.
 Тайшетский р-н, Иркутской области </t>
  </si>
  <si>
    <t xml:space="preserve">Комплекс работ  по строительству объекта:
"Расширение ПС 500 кВ Озерная в части подключения ВЛ 500 кВ Богучанская ГЭС-Озерная" по титулу "ВЛ 500кВ Богучанская ГЭС - Озерная" </t>
  </si>
  <si>
    <t xml:space="preserve">ПС 500/110/35кВ Тайшет.
Расширение и реконструкция ПС. 
г. Тайшет, Иркутской области 
ПС 500/220/35кВ Озерная.
Строительство ПС.
Тайшетский р-н, Иркутской области
</t>
  </si>
  <si>
    <t xml:space="preserve">Строительно-монтажные работы в части оборудования связи по проекту 
ПС 500/220/35 кВ Озерная с ВЛ 500кВ. Расширение и реконструкция ПС500/110/35кВ Тайшет.
 </t>
  </si>
  <si>
    <t>ОАО «Иркутская электросетевая компания»
664033, г. Иркутск, ул. Лермонтова 257,Тел: (3952) 792-459 Факс: (3952) 792-461
Генеральный директор Б.Н. Каратаев
Филиал Западные электрические сети 
665253 г.Тулун, пер. Энергетиков 6. 
Генподрядчик: ЗАО "Энергетические технологии" 
664033, г. Иркутск, ул. Лермонтова, 130, оф. 110, Тел.: (3952) 423-523</t>
  </si>
  <si>
    <t xml:space="preserve">Строительно-монтажные работы по объекту филиала ОАО "ИЭСК" СЭС "Телеканалы ВЛ-500кВ" </t>
  </si>
  <si>
    <t>Работы по демонтажу, ревизии активной части с подъемом колокола и монтажу реактора РТУ-180000/500-УХЛ1 зав. №162103, установленном в ячейке 576 
ПС 500/220/35 кВ "Озерная"</t>
  </si>
  <si>
    <t>Строительно-монтажные, пусконаладочные  работы и поставка оборудования по объекту капитального строительства "Замена  масляных выключателей МВ-110 типа МКП-110 на элегазовые выключатели  типа 3АР1 DT (Sitmtns) в открытом распределительном устройстве 110 кВ ПС 500 кВ Тайшет" (инв. № 8000141335)</t>
  </si>
  <si>
    <t>45</t>
  </si>
  <si>
    <t>ОАО «Иркутская электросетевая компания»
664033, г. Иркутск, ул. Лермонтова 257,Тел: (3952) 792-459 Факс: (3952) 792-461
Генеральный директор Б.Н. Каратаев
Филиал Западные электрические сети 
665253 г. Тулун, пер. Энергетиков 6. 
Директор Коваленко Э.А.
Подрядчик: ЗАО "ИРМЕТ" 
664050, г. Иркутск, ул. Байкальская, 239, корпус 26 А
Директор С.Г. Шатнев</t>
  </si>
  <si>
    <t>Электромонтажные   работы по системе АСКУЭ ПС 500/110/35кВ "Тайшет", яч.№ 11W5С (504).</t>
  </si>
  <si>
    <t>КГКУ "Дирекция по комплексному развитию Нижнего Приангарья" (КГКУ "ДКР НП")                660017, г. Красноярск, ул. Урицкого, д. 123,                 тел. (391) 227-81-31, факс: (391)227-81-53 
Генподрядчик: ООО «ЕвроСибЭнерго-инжиниринг»  
 664050, г. Иркутск, ул. Байкальская, д. 259
тел.: (3952) 794-683, факс: (3952) 794-546
Подрядчик: ЗАО "Иркутскэнергоремонт" 
664050, г. Иркутск, ул. Байкальская 259, а/я 370, тел.(3952) 794-652 
Генеральный директор Ганжа О.В.</t>
  </si>
  <si>
    <t>ПС "Тайшет-2" 500 кВ (Озерная) Расширение ПС в части подключения ВЛ 500кВ  от ПС "Ангара" до ПС "Тайшет-2" 500 кВ (Озерная) 
Иркутская область</t>
  </si>
  <si>
    <t xml:space="preserve">Комплекс работ по объекту: "Расширение подстанции "Тайшет-2" (Озерная) в части подключения воздушной линии электропередачи (500кВ)  от подстанции "Ангара" до подстанции "Тайшет-2" (Озерная) </t>
  </si>
  <si>
    <t>ПС 220 кВ "БЦБК"
Реконструкция ПС
Иркутская обл., Слюдянский район, 
г. Байкальск</t>
  </si>
  <si>
    <r>
      <t xml:space="preserve">ОАО «Иркутская электросетевая компания»
664033, г. Иркутск, ул. Лермонтова 257,
Тел: (3952) 792-459
Генеральный директор Б.Н. Каратаев
Южные электрические сети
 664056, г. Иркутск, ул. Безбокова, 38
Тел./факс.: (3952) 793-203
Директор филиала ЮЭС В.И. Черняков   
</t>
    </r>
    <r>
      <rPr>
        <sz val="9"/>
        <rFont val="Times New Roman"/>
        <family val="1"/>
        <charset val="204"/>
      </rPr>
      <t xml:space="preserve">Генподрядчик  ООО «ЕвроСибЭнерго-инжиниринг» 
 664050,г. Иркутск, ул. Байкальская, д. 259
тел.: (3952) 794-683, факс: (3952) 794-546
</t>
    </r>
    <r>
      <rPr>
        <sz val="9"/>
        <rFont val="Times New Roman"/>
        <family val="1"/>
        <charset val="204"/>
      </rPr>
      <t>Подрядчик: АО "Энергетические технологии"
664033, г. Иркутск, ул. Лермонтова, 130, оф. 110, Тел.: (3952) 423-523
Генеральный директор Черных О.Г.</t>
    </r>
  </si>
  <si>
    <t xml:space="preserve">Комплекс работ  по 
"Реконструкция ПС 220 кВ "БЦБК" (РЗА, ЩПТ, ЩСН).
</t>
  </si>
  <si>
    <r>
      <t xml:space="preserve">ОАО «Иркутская электросетевая компания»
664033, г. Иркутск, ул. Лермонтова 257,
Тел: (3952) 792-459
Генеральный директор Б.Н. Каратаев
</t>
    </r>
    <r>
      <rPr>
        <sz val="9"/>
        <rFont val="Times New Roman"/>
        <family val="1"/>
        <charset val="204"/>
      </rPr>
      <t xml:space="preserve">Генподрядчик  ООО «ЕвроСибЭнерго-инжиниринг» 
 664050,г. Иркутск, ул. Байкальская, д. 259
тел.: (3952) 794-683, факс: (3952) 794-546
</t>
    </r>
    <r>
      <rPr>
        <sz val="9"/>
        <rFont val="Times New Roman"/>
        <family val="1"/>
        <charset val="204"/>
      </rPr>
      <t>Подрядчик ООО "Инженерный центр "Иркутскэнерго",
г. Иркутск, б-р Рябикова 67, 
Тел. (3952) 790-711, Факс (3952) 790-742 
Директор Моисеев Т.В.</t>
    </r>
  </si>
  <si>
    <t>Строительно-монтажные работы по объекту ОАО "ИЭСК": "Реконструкция устройств РЗА ВЛ 500 кВ №560 Братский ПП - ПС Ново-Зиминская на ПС Новозиминская и Братском ПП 500 кВ с реализацией ОАПВ".</t>
  </si>
  <si>
    <t>КГКУ "Дирекция по комплексному развитию Нижнего Приангарья" (КГКУ "ДКР НП")            660017, г. Красноярск, ул. Урицкого, д. 123,                  тел. (391) 227-81-31, 227-81-53                Генподрядчик  ООО «ЕвроСибЭнерго-инжиниринг» 
 664050,г. Иркутск, ул. Байкальская, д. 259
тел.: (3952) 794-683, факс: (3952) 794-546
Генеральный директор Колокольцев А.А.</t>
  </si>
  <si>
    <t>Строительные и электромонтажные работы по устройству: 
 -систем ВЧ-связи ЦСПИ ВОЛС на ПС 500 кВ "Ангара"; 
 -ЦСПИ ВОЛС на усилительном пункте в п.Тиличеть-II 
Объекта "Расширение подстанции Тайшет-2 (Озерная) в части подключения воздушной линии электропередачи от ПС Ангара до ПС Тайшет-2 (Озерная)"</t>
  </si>
  <si>
    <t xml:space="preserve"> ПС 220кВ Кодинская ГПП
ЗРУ2 10кВ
г.Кодинск,  Красноярский край, Кежемский р-н</t>
  </si>
  <si>
    <t xml:space="preserve"> ПС 220кВ Кодинская ГПП
ЗРУ 10кВ
г. Кодинск,  Красноярский край, Кежемский р-н</t>
  </si>
  <si>
    <t>Выполнение комплекса работ по титулу: "Подстанция 220 кВ Кодинская ГПП, реконструкция линейных ячеек 10 кВ2 (для осуществления технологического присоединения энергопринимающих устройств Краевого государственного казенного учреждения "Дирекция по комплексному развитию Нижнего Приангарья")</t>
  </si>
  <si>
    <t>Выполнение комплекса работ по титулу: "Подстанция 220 кВ Кодинская ГПП, расширение ЗРУ 10 кВ на одну линейную ячейку (№25)" (для осуществления технологического присоединения энергопринимающих устройств ГКУ "ДПВ БоГЭС")</t>
  </si>
  <si>
    <t>50.1</t>
  </si>
  <si>
    <t>50.2</t>
  </si>
  <si>
    <t>Строительно-монтажные, пусконаладочные работы, комплектация оборудованием и материалами, авторский надзор за строительством по объекту: "Новая котельная каркасного типа отделения "Теплоэнерго" г. Елизово, расположенная на площадке котельной № 2 (с переключением нагрузок котельных №1 и №3)"</t>
  </si>
  <si>
    <r>
      <t xml:space="preserve">ОАО «ФСК ЕЭС» 
117630, г. Москва, ул. Академика Челомея, д.5А.    
Филиал ОАО «ФСК ЕЭС»- МЭС Сибири.
660099, Красноярский край, Красноярск, ул. Лебедевой, 117 
Тел. (391) 265-95-00 
</t>
    </r>
    <r>
      <rPr>
        <sz val="9"/>
        <rFont val="Times New Roman"/>
        <family val="1"/>
        <charset val="204"/>
      </rPr>
      <t>Генеральный директор филиала Зильберман С.М.</t>
    </r>
  </si>
  <si>
    <t xml:space="preserve">Строительно-монтажные и пусконаладочные работы по объекту "Реконструкция ПС 110/10 кВ "Северная" 
</t>
  </si>
  <si>
    <t>ОАО "Камчатскэнерго" 
683000 г. Петропавловск-Камчатский 
ул. Набережная 10                    
Тел: (4152) 421006, Факс: (4152) 412026
Генеральный директор Кондратьев С.Б.</t>
  </si>
  <si>
    <t xml:space="preserve">Комплектация оборудования и материалов, строительно-монтажные и пусконаладочные работы по объекту: "Тех. присоединение по индивидуальным проектам: Реконструкция инфраструктуры лыжного и горнолыжного комплекса Камчатского края. Горнолыжная база "Морозная" г. Елизово". </t>
  </si>
  <si>
    <t xml:space="preserve">Общество с ограниченной ответственностью "РУСАЛ Тайшетский Алюминиевый Завод" (ООО РУСАЛ Тайшет")
РФ, 665023, Иркутская обл., Тайшетский р-н, с.Старый Окульшет, ул.Советская, д.41  </t>
  </si>
  <si>
    <t xml:space="preserve">Работы по строительству объекта 
(Такелаж, разгрузка и консервация трансформаторов КПП-1, КПП-2, ГПП, монтаж резервуаров склада масла) </t>
  </si>
  <si>
    <t>Тайшетский Алюминиевый Завод  Иркутская область, Тайшетский район, село Старый Акульшет, территория Промплощадки Тайшетского Алюминиевого завода</t>
  </si>
  <si>
    <t xml:space="preserve">Открытое акционерное общество "РУСАЛ Братский Алюминиевый Завод" 
(ОАО "РУСАЛ Братск")
665716, Иркутская область, г.Братск-16
Тел. (3953) 49-26-50
</t>
  </si>
  <si>
    <t>Комплекс монтажных и пусконаладочных работ электротехнического оборудования  СГОУ №42 ОАО "РУСАЛ Братск".</t>
  </si>
  <si>
    <t>Выполнение приемо-сдаточных испытаний и пусконаладочных работ оборудования кремниево-преобразовательной подстанции (КПП-1) первой серии электролиза Богучанского алюминиевого завода</t>
  </si>
  <si>
    <t>Богучанский Алюминиевый Завод 
п. Таёжный,  Красноярский край
Строительство завода</t>
  </si>
  <si>
    <t xml:space="preserve">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t>
  </si>
  <si>
    <t xml:space="preserve">ЗАО "Богучанский Алюминиевый Завод"
 663467, Красноярский край, Богучанский р-н, Промплощадка Богучанского алюминиевого завода 
</t>
  </si>
  <si>
    <t>58</t>
  </si>
  <si>
    <t>58.7</t>
  </si>
  <si>
    <t>58.8</t>
  </si>
  <si>
    <t>Монтаж оборудования КРУЭ, КПП1, ГПП</t>
  </si>
  <si>
    <t>ЗРУ 220 кВ, КПП1, ГПП 220/10 кВ</t>
  </si>
  <si>
    <t>Цех ремонта и чистки ковшей (ЦРЧК)</t>
  </si>
  <si>
    <t>Электромонтажные, пусконаладочные работы и монтаж технологического оборудования ЦРЧК.</t>
  </si>
  <si>
    <t xml:space="preserve">Монтаж электрооборудования склада глинозема, склада фторсолей и УПСГ в бункер ГОУ1
 </t>
  </si>
  <si>
    <t xml:space="preserve"> Трансформаторы КПП-2</t>
  </si>
  <si>
    <t>Корпус электролиза № 1 с пристройками (в осях 1 - 100);   Соединительный коридор до литейного цеха;  Централизованная Раздача Глинозема ЦРГ. Воздуходувная №1 и №2;  Узлы загрузки технологических кранов Корпуса № 1; Западный соединительный коридор (в осях А-Г4); Корпус электролиза №2 с пристройками (в осях 1 - 100); Трансбордерный соединительный коридор (в осях ОА-Г4);  Узлы загрузки технологических кранов Корпуса №2, (№3).</t>
  </si>
  <si>
    <t>Анодно-монтажное отделение (АМО)</t>
  </si>
  <si>
    <t>Монтаж силового электрооборудования, работы по устройству электроосвещения, электромонтажные работы, работы по устройству электроосвещения индукционных установок, монтаж автоматизированной системы, работы по устройству электроосвещения участка ремонта оборудования.</t>
  </si>
  <si>
    <t>Монтаж отопления; устройство теплового пункта; монтаж воздухоснабжения; монтаж трубопроводов аргона; устройство внутренних сетей водоснабжения и канализации.</t>
  </si>
  <si>
    <t>58.9</t>
  </si>
  <si>
    <t>Анодно-монтажное отделение (АМО); Отделение переработки электролита (ОПЭ).</t>
  </si>
  <si>
    <t>558С001С418 от 20.08.14</t>
  </si>
  <si>
    <t xml:space="preserve">Монтаж вентиляции анодно-монтажного отделения; монтаж аспирации отделения переработки электролита </t>
  </si>
  <si>
    <t>558С001С451 от 25.12.14</t>
  </si>
  <si>
    <t>Отделение переработки электролита (ОПЭ).</t>
  </si>
  <si>
    <t>58.10</t>
  </si>
  <si>
    <t>Прокладка кабеля, монтаж распределительных пунктов, установка осветительных приборов</t>
  </si>
  <si>
    <t>28.05.2016</t>
  </si>
  <si>
    <t>25.12.2014</t>
  </si>
  <si>
    <t>58.11</t>
  </si>
  <si>
    <t>Цех капитального ремонта электролизеров (ЦКРЭ). Линия нагрева подовых блоков.</t>
  </si>
  <si>
    <t>Монтаж трансформаторов ТМП 2500/10/0,9 индукционных установок с проведением отбора проб трансформаторного масла</t>
  </si>
  <si>
    <t>13.04.2013</t>
  </si>
  <si>
    <t>31.10.2015</t>
  </si>
  <si>
    <t>558С001С478 от 13.04.15</t>
  </si>
  <si>
    <t>22.04.2016</t>
  </si>
  <si>
    <t>22.06.2015</t>
  </si>
  <si>
    <t xml:space="preserve">Пусконаладочные работы. Автоматическая линия монтажа анодов с линией ремонта анододержателей; Пусконаладочные работы. Основной энергоузел А. Автоматическая линия монтажа анодов с линией ремонта анододержателей; Пусконаладочные работы. Основной энергоузел В. Автоматическая линия монтажа анодов с линией ремонта анододержателей. </t>
  </si>
  <si>
    <t>58.12</t>
  </si>
  <si>
    <t>58.13</t>
  </si>
  <si>
    <t>558С001С512 от 10.06.2015</t>
  </si>
  <si>
    <t>10.06.2016</t>
  </si>
  <si>
    <t>Анодно-монтажное отделение (АМО); Литейный цех</t>
  </si>
  <si>
    <t xml:space="preserve">Пусконаладочные работы. </t>
  </si>
  <si>
    <t>18.03.2016</t>
  </si>
  <si>
    <t>558С001С515 от 01.07.2015</t>
  </si>
  <si>
    <t>01.07.2015</t>
  </si>
  <si>
    <t>28.03.2016</t>
  </si>
  <si>
    <t>58.14</t>
  </si>
  <si>
    <t>Работы по разгрузке преобразовательных, регулировочных трансформаторов Alstom</t>
  </si>
  <si>
    <t>Склад "зеленых" и обожжённых анодов</t>
  </si>
  <si>
    <t>Прокладка кабеля, монтаж троллеев, монтаж распределительных пунктов, установка осветительных приборов, пусконаладочные работы.</t>
  </si>
  <si>
    <t xml:space="preserve">ОАО "Группа «Илим"
191025, г. Санкт-Петербург, ул. Марата,17,
Филиал  ОАО "Группа «Илим" в г. Братске, 665718, РФ, Иркутская обл., г. Братск
Тел: (3953) 340106, </t>
  </si>
  <si>
    <t>59.1</t>
  </si>
  <si>
    <t>59.2</t>
  </si>
  <si>
    <t>59.3</t>
  </si>
  <si>
    <t>59.4</t>
  </si>
  <si>
    <t>Электромонтажные и пусконаладочные работы по реализации проекта "Изменение схемы питания распределительных устройств ПОСП КС-1"</t>
  </si>
  <si>
    <t xml:space="preserve">Мероприятия по ликвидации последствий аварии после падения крана БК-1000 Б  на объекте "Кабельная трасса от ТЭЦ-6 до РП-11": электромонтажные и пусконаладочные работы. </t>
  </si>
  <si>
    <t>Работы по проектам "Строительство хвойной линии";  "Строительство пресспата сушильной машины": Демонтаж, монтаж кабельных металлоконструкций; Демонтаж, монтаж силового контрольного кабеля; Демонтаж, монтаж электроосвещения; Демонтаж, монтаж электросилового оборудования; Демонтаж, монтаж троллейных шинопроводов; Демонтаж, монтаж  низковольтных и высоковольтных ячеек; Демонтаж, монтаж трансформаторов; Монтажные работы по электрооборудованию кранов; Монтаж высоковольтного кабеля; Монтаж концевых и соединительных муфт; Пусконаладочные работы.</t>
  </si>
  <si>
    <t>Реализация проекта "Реконструкция объектов подготовки, хранения и подачи КДО на утилизацию". II пусковой комплекс ПЩ</t>
  </si>
  <si>
    <t>Комплекс электромонтажные работы   по реализации проекта "Реконструкция объектов подготовки, хранения и подачи КДО на утилизацию". II пусковой комплекс ПЩ</t>
  </si>
  <si>
    <t>59.5</t>
  </si>
  <si>
    <t>Реализация проектов:
"Реконструкция целлюлозного производства. Управление стратегическими проектами"
"Реконструкция целлюлозного производства. Технологическая электростанция. СРК-14"</t>
  </si>
  <si>
    <t>Работы по транспортировке стрелы крана LIEBHERR LTM по проекту "Реконструкция целлюлозного производства. Управление стратегическими проектами" и парового барабана котла СРК-3000 ст.№14 по проекту "Реконструкция целлюлозного производства. Технологическая электростанция. СРК-14"</t>
  </si>
  <si>
    <t>СРК-14, Выпарная станция</t>
  </si>
  <si>
    <t>59.6</t>
  </si>
  <si>
    <t>Демонтаж оборудования и кабельной трассы РП-7А и РП-7Б по объекту  "Реконструкция целлюлозного производства. 1-я очередь строительства. Варочный отдел хвойного потока. Отдел промывки, сортирования и кислородной делигнификации хвойного потока. Отбельный отдел хвойного потока"</t>
  </si>
  <si>
    <t>59.7</t>
  </si>
  <si>
    <t>59.8</t>
  </si>
  <si>
    <t>59.9</t>
  </si>
  <si>
    <t>59.10</t>
  </si>
  <si>
    <t xml:space="preserve"> "Реконструкция целлюлозного производства. 1-я очередь строительства. Сушильный отдел хвойного потока"</t>
  </si>
  <si>
    <t>Электромонтажные работы по устройству временного освещения  в сушильном цехе ЦП-2 по объекту "Реконструкция целлюлозного производства. 1-я очередь строительства. Сушильный отдел хвойного потока"</t>
  </si>
  <si>
    <t>Монтажные и пусконаладочные работы электрической системы 6 кВ главного распределительного устройства и турбогенераторов ТЭС-3 по объекту ""Реконструкция турбинного отделения КТЦ ТЭС-3 с установкой двух противодавленческих турбин с давлением острого пара 90 бар"</t>
  </si>
  <si>
    <t>Реализация проекта "Реконструкция турбинного отделения КТЦ ТЭС-3 с установкой двух противодавленческих турбин с давлением острого пара 90 бар"</t>
  </si>
  <si>
    <t>Электромонтажные и пусконаладочные работы по объектам СРК-14 и Выпарной цех</t>
  </si>
  <si>
    <t>59.11</t>
  </si>
  <si>
    <t>59.12</t>
  </si>
  <si>
    <t>59.13</t>
  </si>
  <si>
    <t>59.14</t>
  </si>
  <si>
    <t>59.15</t>
  </si>
  <si>
    <t>59.16</t>
  </si>
  <si>
    <t>59.17</t>
  </si>
  <si>
    <t>59.18</t>
  </si>
  <si>
    <t>Комплекс монтажных и пусконаладочных работ по объектам "Реконструкция целлюлозного производства. 1-я очередь строительства. Сушильный отдел хвойного потока. Упаковочное отделение хвойного потока".</t>
  </si>
  <si>
    <t>"Реконструкция целлюлозного производства. 1-я очередь строительства. Цех каустикации, регенерации извести и подачи химикатов. Отделение каустикации регенерации извести-2"</t>
  </si>
  <si>
    <t>Монтажные работы по прокладке кабеля и работы по испытанию и определению повреждений кабеля 6 кВ на РП 23 по объекту "Реконструкция целлюлозного производства. 1-я очередь строительства. Цех каустикации, регенерации извести и подачи химикатов. Отделение каустикации регенерации извести-2"</t>
  </si>
  <si>
    <t>РП-16 инв.№ 36201040002713 цеха электроснабжения (ЦЭС)</t>
  </si>
  <si>
    <t>Работы по замене масляных выключателей 6 кВ на элегазовые в РП-16  инв.№ 36201040002713 цеха электроснабжения (ЦЭС)</t>
  </si>
  <si>
    <t>Электромонтажные работы по объектам "Реконструкция ЦП. 1-я очередь строительства. Варочный отдел хвойного потока. Отдел промывки, сортировки и кислородной делигнификации хвойного потока. Отбельный отдел хвойного потока".</t>
  </si>
  <si>
    <t xml:space="preserve"> Реконструкция целлюлозного производства.1-я очередь строительства. Технологическая электростанция. СРК-12.</t>
  </si>
  <si>
    <t>Работы по монтажу силового электрооборудования и пусконаладочные работы по объекту " Реконструкция целлюлозного производства.1-я очередь строительства. Технологическая электростанция. СРК-12".</t>
  </si>
  <si>
    <t>59.19</t>
  </si>
  <si>
    <t>59.20</t>
  </si>
  <si>
    <t>59.21</t>
  </si>
  <si>
    <t>59.22</t>
  </si>
  <si>
    <t>59.23</t>
  </si>
  <si>
    <t>Пусконаладочные работы шинопроводов 3,4 и РП-7А, 7Б по проекту "Реконструкция турбинного отделения КТЦ ТЭС-3 с установкой двух противодавленческих турбин с давлением острого пара 90 бар".</t>
  </si>
  <si>
    <t>Электромонтажные работы реконструкции шинопроводов 3,4 и РП-7А, 7Б по проекту "Реконструкция турбинного отделения КТЦ ТЭС-3 с установкой двух противодавленческих турбин с давлением острого пара 90 бар".</t>
  </si>
  <si>
    <t>Реконструкция ЦП. 1-я очередь строительства. Отбельный цех хлорного потока. Отдел промывки, сортировки и кислородной делигнификации хвойного потока.</t>
  </si>
  <si>
    <t>Пусконаладочные работы по шкафам защиты минимального напряжения распределительных устройств РП-7А, РП-7Б по объектам "Реконструкция ЦП. 1-я очередь строительства. Отбельный цех хлорного потока. Отдел промывки, сортировки и кислородной делигнификации хвойного потока".</t>
  </si>
  <si>
    <t>Станция№1 для выпаривания черного щелока; турбинный цех ТЭС-3; насосная станция 2 подъема; ХВО-1; СЦ ПЛЦ; ВОЦ ПЛЦ</t>
  </si>
  <si>
    <t>Реконструкция целлюлозного производства. 1-я очередь строительства. Техническое перевооружение ЦКРИ</t>
  </si>
  <si>
    <t xml:space="preserve">Работы по ликвидации последствий после падения крана SKR-3500 (отделение галереи шинопроводов №3,4  инв. № 36201010000588) ЦЭС:  Монтаж кабеля дифференциальной защиты шинопроводов ШП 3,4 и резервного ввода РП-10; Пусконаладочные работы дифференциальной защиты резервного ввода РП-10, шинопроводов ШП 3,4; Электромонтажные работы по кабельной трассе ТЭЦ-6 РП-10; Испытание кабеля от  РП-10 до шинопроводов ШП 3,ШП-4; </t>
  </si>
  <si>
    <t>59.24</t>
  </si>
  <si>
    <t>59.25</t>
  </si>
  <si>
    <t>59.26</t>
  </si>
  <si>
    <t>59.27</t>
  </si>
  <si>
    <t>Реализация проекта "Приведение кабельного туннеля 6 кВ  в соответствие  Нормам и Правилам"</t>
  </si>
  <si>
    <t>Электромонтажные и пусконаладочные работы  по выносу кабелей 6 кВ из кабельного тоннеля ЦЭС под землей от ХВО для реализации инвестиционного проекта " "Приведение кабельного туннеля 6 кВ  в соответствие  Нормам и Правилам"</t>
  </si>
  <si>
    <t xml:space="preserve">Строительно-монтажные и пусконаладочные  работы по: кабельной эстакаде; реконструкции ячеек №1, №25 РП-10; трансформаторной подстанции ТП-309 в рамках проекта "Строительство отдела разложения сульфатного мыла" </t>
  </si>
  <si>
    <t>Строительно-монтажные и пусконаладочные  работы по реконструкции головного трансформатора Т-2 для реализации инвестиционного  проекта "Приобретение силового трансформатора  ТРДЦН-80/110" (трансформатор ТРДЦН-80000 кВА 110/10/10 кВ зав.№7, инв. № 36201040001597) ЦЭС Хлорного производства</t>
  </si>
  <si>
    <t>Реализация проекта "Перенос РОУ 13/4 (1,2) с аварийного здания в ТО ТЭС-2"</t>
  </si>
  <si>
    <t>Работы для реализации инвестиционного проекта  "Перенос РОУ 13/4 (1,2) с аварийного здания в ТО ТЭС-2" в части электромонтажных и пусконаладочных работ "Установка новой  трансформаторной подстанции мазутно-насосной станции" КТЦ ТЭС</t>
  </si>
  <si>
    <t>59.28</t>
  </si>
  <si>
    <t>60</t>
  </si>
  <si>
    <t>61</t>
  </si>
  <si>
    <t xml:space="preserve">Монтаж внутрицехового электрооборудования в зоне сушильного цеха. Упаковочной линии и системы автоматизации технологических процессов в зоне сушильного цеха в рамках реализация проекта "Реконструкция целлюлозного производства. 1-я очередь строительства". </t>
  </si>
  <si>
    <t>Работы по монтажу электрооборудования по объектам "Реконструкция целлюлозного производства. 1-я очередь строительства. Сушильный отдел хвойного потока. Упаковочное отделение хвойного потока".</t>
  </si>
  <si>
    <t>Электромонтажные и пусконаладочные работы в рамках проектов "Реконструкция целлюлозного производства. 1-я очередь строительства. Техническое перевооружение ЦКРИ".</t>
  </si>
  <si>
    <t>Электромонтажные работы  по полному восстановлению участков  шинопроводов №3,4 (ликвидации последствий после падения крана SKR-3500ОЭМ зав.№29) (отделение галереи шинопроводов 3,4 инв. №36201010000588).</t>
  </si>
  <si>
    <t>ОАО "Группа Илим" 
г. Усть-Илимск, Иркутская обл.
СРК-1</t>
  </si>
  <si>
    <t xml:space="preserve">ОАО "Группа Илим"
191025, г. Санкт-Петербург, ул. Марата,17,
Филиал  АО "Группа «Илим" в г. Усть-Илимске
666684, Россия, Иркутская область, промплощадка ЛПК, Тел.: (39535) 9-22-66 
Генподрядчик- ООО "Илимтехносервис"
</t>
  </si>
  <si>
    <t xml:space="preserve">Строительно-монтажные работы по проекту: "Замена первой камеры электрофильтра СРК-1. (СПП 40.13.1.3.Х-02) </t>
  </si>
  <si>
    <t>Электромонтажные работы по установке батарей статических конденсаторов на филиале ОАО "Группа Илим" в г. Братске</t>
  </si>
  <si>
    <t>ОАО "Группа «Илим"
191025, г. Санкт-Петербург, ул. Марата,17,
Филиал  ОАО "Группа «Илим" в г. Братске, 665718, РФ, Иркутская обл., г. Братск
Тел: (3953) 340106, 
Генподрядчик- ООО "Инженерный центр "Энергосервис"
г. Архангельск, ул. Котласская, 26
Тел. 65-75-65, 64-60-00
Генеральный директор Флейшман И.Л.</t>
  </si>
  <si>
    <t>62</t>
  </si>
  <si>
    <t>Илимхимпром
Промплощадка ОАО "Братсккомплексхолдинг",
 г. Братск, Иркутская обл.</t>
  </si>
  <si>
    <t xml:space="preserve">ЗАО "Илимхимпром"
665718, Иркутская обл. г. Братск, а/я 488
Генеральный директор 
Штанюк И.В. 
</t>
  </si>
  <si>
    <t>Выполнить ремонтно-восстановительные работы электрооборудования ячейки №37 ЗРУ-10 ГПП-3 и провести его диагностическое испытание для выявления дефектов электрооборудования (инв. № 65489) в цехе № 5 ЗАО "Илимхимпром"</t>
  </si>
  <si>
    <t xml:space="preserve">ЛДК/18-06/11-Пд от 21.06.11
</t>
  </si>
  <si>
    <t>ЛДК/27-06/11-Пд от 27.06.11</t>
  </si>
  <si>
    <t>63.1</t>
  </si>
  <si>
    <t>63.2</t>
  </si>
  <si>
    <t>ЗАО "ЛДК Игирма"
664075, Иркутск, ул. Байкальская, д.234
Генеральный директор Пустовалов А.В.</t>
  </si>
  <si>
    <t>Работы по электромонтажу силового оборудования объекта  "Строгальный цех". "Лесопильно-деревообрабатывающего комплекса  по выпуску пиломатериалов мощностью 350 тыс.м3/год"</t>
  </si>
  <si>
    <t>Электромонтажные работы по электроосвещению на объекте  "Строгальный цех". "Лесопильно-деревообрабатывающего комплекса  по выпуску пиломатериалов мощностью 350 тыс.м3/год"</t>
  </si>
  <si>
    <t>ООО "БЗФ"
 665716, Россия, Иркутская обл., г. Братск, П 01 11 01 00 Тел: (3953) 49-59-01
Управляющий директор В.Г. Прокопец
Генподрядчик ООО "СМК"
665726, Иркутская обл., г. Братск, 
ул. Обручева 37-26
 Генеральный директор Гритчин С.Г.</t>
  </si>
  <si>
    <t>Такелажная разгрузка с железнодорожного транспорта, погрузка такелажным способом и последующая транспортировка 7 печных трансформаторов</t>
  </si>
  <si>
    <t>64</t>
  </si>
  <si>
    <t>64.1</t>
  </si>
  <si>
    <t xml:space="preserve">201 от 28.06.12
</t>
  </si>
  <si>
    <t>251 от 20.08.12</t>
  </si>
  <si>
    <t>64.2</t>
  </si>
  <si>
    <t>64.3</t>
  </si>
  <si>
    <t>64.4</t>
  </si>
  <si>
    <t>Транспортировка по территории Заказчика  трансформатора ТРДН 80000/110 на площадку хранения, с последующей разгрузкой  и установкой</t>
  </si>
  <si>
    <t>Капитальный ремонт агрегата трансформаторного ЭОЦНК 21000/10-83 УХЛ (2 шт) (инв.№ 30100009; 30100017)</t>
  </si>
  <si>
    <t>Капитальный ремонт агрегата трансформаторного ЭОЦНК 21000/10-83 УХЛ (2 шт) (инв.№ 30100003; 30100016)</t>
  </si>
  <si>
    <t>Капитальный ремонт агрегата трансформаторного ЭОЦНК 21000/10-83 УХЛ (2 шт) (инв.№ 30100001; 30100019)</t>
  </si>
  <si>
    <t xml:space="preserve"> - Текущий ремонт дозировочного отделения (инв. № 10600006).. Монтаж оборудования и кабельных связей ЩСУ.
 - Текущий ремонт дозировочного отделения (инв. № 10600006). Монтаж щита ЩСУ.</t>
  </si>
  <si>
    <t xml:space="preserve">Электромонтажные работы по объекту: "Культурно-просветительский центр, расположенный по адресу: г. Братск, ж/р Центральный, ул. Мира, 32 </t>
  </si>
  <si>
    <t>Культурно-просветительский центр (Храм)
г. Братск, ж/р Центральный, ул. Мира, 32</t>
  </si>
  <si>
    <t>64.5</t>
  </si>
  <si>
    <t>64.6</t>
  </si>
  <si>
    <t>65</t>
  </si>
  <si>
    <t xml:space="preserve">Такелажная разгрузка трансформатора ТРДН 80000/110 с железнодорожного транспорта, дальнейшая его транспортировка до места хранения, с последующей разгрузкой и  установкой на площадке для хранения </t>
  </si>
  <si>
    <t>Замена Рабочего колеса на ГА -9 (Вывозка рабочего колеса с МП-1 на центральный склад БГЭС)» (инв.№БРГ _00040609)</t>
  </si>
  <si>
    <t>Замена Рабочего колеса на ГА -9 (Вывозка рабочего колеса с МП-1 на центральный склад БГЭС) (инв.№БРГ _00040609)</t>
  </si>
  <si>
    <t xml:space="preserve">003/02/16 от 09.02.2016 </t>
  </si>
  <si>
    <t>01.07.2016</t>
  </si>
  <si>
    <t>31.10.2016</t>
  </si>
  <si>
    <t>Техническое перевооружение маслонаполненной кабельной линии 220 кВ 14ГТ с заменой кабеля МВДТ 220/550 на кабель с изоляцией из сшитого полиэтилена</t>
  </si>
  <si>
    <t>01.05.2016</t>
  </si>
  <si>
    <t xml:space="preserve">001/02/16 от 11.02.2016 </t>
  </si>
  <si>
    <t>01.02.2016</t>
  </si>
  <si>
    <t>Замена рабочего колеса на 6Г - Вывозка рабочего колеса с МП-1 на ц/склад БГЭС</t>
  </si>
  <si>
    <t xml:space="preserve">019/02/16 от 07.11.2016 </t>
  </si>
  <si>
    <t>30.04.2017</t>
  </si>
  <si>
    <t>07.11.2016</t>
  </si>
  <si>
    <t xml:space="preserve">Комплексная система управления ГА для участия в АВРЧМ
</t>
  </si>
  <si>
    <t xml:space="preserve">63П-48/16 от 27.04.2016 </t>
  </si>
  <si>
    <t>31.12.2016</t>
  </si>
  <si>
    <t xml:space="preserve">Работы по объекту филиала ПАО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13Г, ПТК ССМД 13Г с верхним уровнем, ЭГР 15Г, ССМД 15Г с верхним уровнем, ССМД 18Г с верхним уровнем, ЭГР 14Г).
</t>
  </si>
  <si>
    <t xml:space="preserve">Работы по объекту филиала ПАО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ССМД 1Г с верхним уровнем)
</t>
  </si>
  <si>
    <t>Работы по Объекту филиала ПАО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5Г, ПТК ССМД 5Г с верхним уровнем, ЭГР 11Г, ССМД 11Г с верхним уровнем)</t>
  </si>
  <si>
    <t>строительно-монтажные работы следующих комплексов: Терминал АРЧМ, ГРАРМ с верхним уровнем, ЭГР 5Г, ПТК ССМД 5Г с верхним уровнем, ЭГР 11Г, ССМД 11Г с верхним уровнем</t>
  </si>
  <si>
    <t xml:space="preserve">63П-50/16 от 01.12.2016 </t>
  </si>
  <si>
    <t>Работы по Объекту филиала ПАО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2Г, ПТК ССМД 2Г с верхним уровнем)</t>
  </si>
  <si>
    <t>строительно-монтажные работы следующих комплексов: Терминал АРЧМ, ГРАРМ с верхним уровнем, ЭГР 2Г, ПТК ССМД 2Г с верхним уровнем,</t>
  </si>
  <si>
    <t xml:space="preserve">63П-51/17от 23.01.2017 </t>
  </si>
  <si>
    <t xml:space="preserve"> 23.01.2017 </t>
  </si>
  <si>
    <t>30.06.2017</t>
  </si>
  <si>
    <t>Работы по Объекту филиала ПАО "Иркутскэнерго" Братская ГЭС "Комплексная система управления ГА для участия в АВРЧМ" (строительно-монтажные работы следующих комплексов: Терминал АВРЧМ, ГРАРМ с нижнем уровнем, ЭГР 6Г, ПТК ССМД 6Г с верхним уровнем)</t>
  </si>
  <si>
    <t>строительно-монтажные работы следующих комплексов: Терминал АВРЧМ, ГРАРМ с нижнем уровнем, ЭГР 6Г, ПТК ССМД 6Г с верхним уровнем</t>
  </si>
  <si>
    <t xml:space="preserve">11КС-2016 от 27.09.2016 </t>
  </si>
  <si>
    <t xml:space="preserve">27.09.2016 </t>
  </si>
  <si>
    <t>Замена рабочих колес Усть-Илимской ГЭС. (Вывозка рабочих колес с машинного зала на площадку временного хранения)</t>
  </si>
  <si>
    <t>Вывозка рабочих колес с машинного зала на площадку временного хранения</t>
  </si>
  <si>
    <t>Техническое перевооружение гидроагрегатов  Усть-Илимской ГЭС для оптимизации режима работы системы охлаждения</t>
  </si>
  <si>
    <t xml:space="preserve">Строительно-монтажные, пусконаладочные работы и поставка оборудования </t>
  </si>
  <si>
    <t>Строительно-монтажные, пусконаладочные работы и поставка оборудования по Объекту филиала ПАО «Иркутскэнерго» Усть-Илимская ГЭС «Техническое перевооружение гидроагрегатов У-ИГЭС для оптимизации режима работы системы охлаждения», по объектам основных средств с ГИДРОГЕНЕРАТОРА 1 ВГС 1190/ 215 (инв.№ УИГ_00040165) по ГИДРОГЕНЕРАТОР 16 (инв.№ 00040180)</t>
  </si>
  <si>
    <t xml:space="preserve">6КС-2017 от 14.04.2017 </t>
  </si>
  <si>
    <t xml:space="preserve">14.04.2017 </t>
  </si>
  <si>
    <t>31.12.2017</t>
  </si>
  <si>
    <t xml:space="preserve">Замена рабочих колес Усть-Илимской ГЭС"  (вывозка рабочих колес с машинного зала на площадку временного хранения) по объектам основных средств:  ГИДРОТУРБИНА  2 ЗАВ.606, инвентарный номер 00040019 и ГИДРОТУРБИНА  4 ЗАВ.608,  инвентарный номер УИГ_00040021 </t>
  </si>
  <si>
    <t>Замена рабочих колес Усть-Илимской ГЭС. (Вывозка рабочих колес с машинного зала на площадку временного хранения) по объектам основных средств:  ГИДРОТУРБИНА  10 ЗАВ.614, инвентарный номер УИГ_00040037 и ГИДРОТУРБИНА  12 ЗАВ*.616,  инвентарный номер №УИГ_0004003</t>
  </si>
  <si>
    <t xml:space="preserve">8КС-2017 от 31.07.2017 </t>
  </si>
  <si>
    <t xml:space="preserve">04.2016 </t>
  </si>
  <si>
    <t xml:space="preserve">12.2016 </t>
  </si>
  <si>
    <t xml:space="preserve">07.2017 </t>
  </si>
  <si>
    <t>10.2017</t>
  </si>
  <si>
    <t xml:space="preserve">1КС-2018 от 22.02.2018 </t>
  </si>
  <si>
    <t>02.2018</t>
  </si>
  <si>
    <t xml:space="preserve">Замена рабочих колес Усть-Илимской ГЭС. Гидротурбина 2  (вывозка рабочего колеса с площадки временного хранения в  машинный зал)  по объекту основных средств:  ГИДРОТУРБИНА  2 ЗАВ.606, инвентарный номер 00040019 
</t>
  </si>
  <si>
    <t xml:space="preserve">Замена рабочих колес Усть-Илимской ГЭС. (вывозка рабочего колеса с площадки временного хранения в  машинный зал)  </t>
  </si>
  <si>
    <t xml:space="preserve">9КС-2018 от 04.06.2018 </t>
  </si>
  <si>
    <t>06.2018</t>
  </si>
  <si>
    <t>12.2018</t>
  </si>
  <si>
    <t>Сроительно-монтажные работы по объекту филиала ПАО «Иркутскэнерго» Усть-Илимская ГЭС "ОРУ 220-500 КВ. УИГ_00040406. Техническое перевооружение. ОРУ 220-500кВ. Техническое перевооружение устройств РЗА ОВ 220", по объекту основных средств ОРУ 220-500 КВ, инв.№ УИГ_00040406</t>
  </si>
  <si>
    <t>ОРУ 220-500 КВ. УИГ_00040406. Техническое перевооружение. ОРУ 220-500кВ. Техническое перевооружение устройств РЗА ОВ 220</t>
  </si>
  <si>
    <t xml:space="preserve">164 от 28.12.2015 </t>
  </si>
  <si>
    <t xml:space="preserve">163 от 28.12.2015 </t>
  </si>
  <si>
    <t>Козловой кран ВБ № 1 г/п 250/125/20+3т</t>
  </si>
  <si>
    <t>ПАО «Иркутскэнерго»
664025, г. Иркутск, ул. Сухэ-Батора,3
Генеральный директор Причко О.Н. 
Филиал ПАО "Иркутскэнерго" 
Усть-Илимская ГЭС
666683, г. Усть-Илимск, Иркутской обл., а/я 958, тел. (39535) 95 859, 95 736.
Директор филиала  Стрелков Е.В.</t>
  </si>
  <si>
    <t>ПАО «Иркутскэнерго»
664025, г. Иркутск, ул. Сухэ-Батора,3
Генеральный директор Причко О.Н. 
Филиал ПАО "Иркутскэнерго" 
Усть-Илимская ГЭС
666683, г. Усть-Илимск, Иркутской обл., а/я 958, тел. (39535) 95 859, 95 736.
Директор филиала Кузнецов С.В.</t>
  </si>
  <si>
    <t>ПАО «Иркутскэнерго»
664025, г. Иркутск, ул. Сухэ-Батора,3
Генеральный директор Причко О.Н. 
Филиал ПАО "Иркутскэнерго" Братская ГЭС
665709, г. Братск, а/я783
факс (3953)323 367, тел. 323 359
Директор филиала Вотенев  А.А.</t>
  </si>
  <si>
    <t>ПАО «Иркутскэнерго»
664025, г. Иркутск, ул. Сухэ-Батора,3
Генеральный директор Причко О.Н. 
Филиал ПАО "Иркутскэнерго" Братская ГЭС
665709, г. Братск, а/я783
факс (3953)323 367, тел. 323 359
Директор филиала Вотенев  А.А.
Генподрядчик: ООО "НПФ "Ракурс"
198095, г. Санкт-Петербург, 
Химический пер.,  д.1 корп.2 
тел. (812)252 32 44, 252 64 79
Генеральный директор Чернигов Л.М.</t>
  </si>
  <si>
    <t>ПАО «Иркутскэнерго»
664025, г. Иркутск, ул. Сухэ-Батора,3
Генеральный директор Причко О.Н.
Филиал ПАО "Иркутскэнерго" Иркутская ГЭС 
664056, г. Иркутск, Иркутская ГЭС, а/я 3408
тел.:  (3952)793-859,Факс:  (3952)793-856
Директор филиала Алдошин И.Н.</t>
  </si>
  <si>
    <t xml:space="preserve">Строительно-монтажные  и пусконаладочные  работы на объекте филиала ПАО "Иркутскэнерго" Иркутская ГЭС: "Реконструкция электрооборудования козловых кранов ВБ и НБ, мостового крана гидроподъемников". 2 пусковой комплекс (Козловой кран ВБ № 1 г/п 250/125/20+3т)" 
</t>
  </si>
  <si>
    <t xml:space="preserve">Строительно-монтажные  и пусконаладочные  работы на объекте филиала ПАО "Иркутскэнерго" Иркутская ГЭС: "ЗРУ - 13,8 кВ. Замена выключателей ТСН 5Т-8Т2". 5-й, 6-й пусковой комплекс. 
</t>
  </si>
  <si>
    <t>ЗРУ - 13,8 кВ. Замена выключателей ТСН 5Т-8Т2</t>
  </si>
  <si>
    <t>ПАО «Иркутскэнерго»
664025, г. Иркутск, ул. Сухэ-Батора,3
Генеральный директор Причко О.Н.
Филиал ПАО "Иркутскэнерго" 
Усть-Илимская ТЭЦ
666684 Иркутская область, г.Усть-Илимск-14, а/я 330 тел. (39535) 9 53 59
Директор филиала Кровушкин А.В.</t>
  </si>
  <si>
    <t xml:space="preserve">Ремонт металлоконструкций с АКЗ на филиале ПАО «Иркутскэнерго» Усть-Илимская ТЭЦ
</t>
  </si>
  <si>
    <t xml:space="preserve">Ремонт металлоконструкций с АКЗ 
</t>
  </si>
  <si>
    <t xml:space="preserve">017/2016-ГЭМ от 03.02.2016 </t>
  </si>
  <si>
    <t xml:space="preserve">Ремонт кабельных трасс КИПиА У-ИТЭЦ на филиале ПАО «Иркутскэнерго» Усть-Илимская ТЭЦ
</t>
  </si>
  <si>
    <t xml:space="preserve">Ремонт кабельных трасс КИПиА 
</t>
  </si>
  <si>
    <t xml:space="preserve">018/2016-ГЭМ от 19.02.2016 </t>
  </si>
  <si>
    <t>Модернизация электрооборудования РУСН-6/0,4 кВ (инв. № 06004597)</t>
  </si>
  <si>
    <t xml:space="preserve">Строительно-монтажные  и пусконаладочные  работы  на объекте филиала ПАО «Иркутскэнерго» Усть-Илимская ТЭЦ: «Модернизация электрооборудования РУСН-6/0,4 кВ (инв. № 06004597)» в г. Усть-Илимск 
</t>
  </si>
  <si>
    <t>КС-13-16 от 18.04.2016</t>
  </si>
  <si>
    <t xml:space="preserve">КС-27-16 от 22.06.2016 </t>
  </si>
  <si>
    <t>Техническое перевооружение напорных канализационных трубопроводов правого берега с установкой приборов автоматического учета</t>
  </si>
  <si>
    <t xml:space="preserve">КС-28-16 от 30.06 2016 </t>
  </si>
  <si>
    <t>07.2016</t>
  </si>
  <si>
    <t>Модернизация шатров надземной части галереи ЛК-6,ЛК-8</t>
  </si>
  <si>
    <t>Строительно-монтажные работы на объекте филиала ПАО «Иркутскэнерrо» Усть-Илимская ТЭЦ: «Модернизация шатров надземной части галереи ЛК-6 (инв№02001203), ЛК-8 (инв№02001205" УИТЭЦ в г. Усть-Илимск</t>
  </si>
  <si>
    <t>Ремонт кабельных связей от ЦНС-2 до ГК (оптоволокно ЦТАИ)</t>
  </si>
  <si>
    <t xml:space="preserve">019/2016-ГЭМ от 17.11.2016 </t>
  </si>
  <si>
    <t>12.2016</t>
  </si>
  <si>
    <t>Ремонт сети освещения РММ</t>
  </si>
  <si>
    <t>Ремонт сети освещения РММ на филиале ПАО «Иркутскэнерго» Усть-Илимская ТЭЦ</t>
  </si>
  <si>
    <t xml:space="preserve">021/2016-ГЭМ от 21.12.2016 </t>
  </si>
  <si>
    <t>Непредвиденные работы и устранение дефектов на оборудовании ЭЦ У-ИТЭЦ</t>
  </si>
  <si>
    <t>Непредвиденные работы и устранение дефектов на оборудовании ЭЦ 
У-ИТЭЦ</t>
  </si>
  <si>
    <t xml:space="preserve">ГЭМ-17-20 от 21.12.2016 </t>
  </si>
  <si>
    <t xml:space="preserve">Ремонт средств КИП и А на филиале ПАО "Иркутскэнерго" Усть-Илимская ТЭЦ </t>
  </si>
  <si>
    <t xml:space="preserve">ГЭМ-17-21 от 09.03.2017 </t>
  </si>
  <si>
    <t xml:space="preserve">Ремонт средств КИП и А </t>
  </si>
  <si>
    <t xml:space="preserve">17-22 от 12.05.2017 </t>
  </si>
  <si>
    <t>Ремонт кабельных связей ЦНС-2</t>
  </si>
  <si>
    <t xml:space="preserve">Ремонт кабельных связей ЦНС-2 на филиале ПАО "Иркутскэнерго" Усть-Илимская ТЭЦ </t>
  </si>
  <si>
    <t xml:space="preserve">ГЭМ-17-24 от 25.07.2017 </t>
  </si>
  <si>
    <t>Ремонт вентиляционных заслонок кабельного полуэтажа отм. 8м ГК</t>
  </si>
  <si>
    <t xml:space="preserve">Ремонт вентиляционных заслонок кабельного полуэтажа отм. 8м ГК на филиале ПАО "Иркутскэнерго" Усть-Илимская ТЭЦ </t>
  </si>
  <si>
    <t>11.2017</t>
  </si>
  <si>
    <t xml:space="preserve">ГЭМ-17-23 от 18.07.2017 </t>
  </si>
  <si>
    <t xml:space="preserve">Ремонт сирен МЧС  на филиале ПАО "Иркутскэнерго" Усть-Илимская ТЭЦ </t>
  </si>
  <si>
    <t xml:space="preserve">Ремонт сирен МЧС </t>
  </si>
  <si>
    <t>09.2017</t>
  </si>
  <si>
    <t xml:space="preserve">70-Р-16 от 15.03.2016 </t>
  </si>
  <si>
    <t>ПАО «Иркутскэнерго»
664025, г. Иркутск, ул. Сухэ-Батора,3
Генеральный директор Причко О.Н.
Филиал ПАО "Иркутскэнерго" ТЭЦ-16
665651 Иркутская область, г. Железногорск-Илимский, 1 п/о, а/я 18. 
Тел.(39566) 2-61-59 (39566) 2-61-59
Директор филиала 
Черкасов Сергей Иванович</t>
  </si>
  <si>
    <t>Ремонт электрооборудования и освещения</t>
  </si>
  <si>
    <t xml:space="preserve">6-106/16 от 23.06.2016 </t>
  </si>
  <si>
    <t>Здание дробильного корпуса (инв.№ 00000010)</t>
  </si>
  <si>
    <t>Строительно-монтажные  и пусконаладочные работы по техническому  перевооружению топливоподающего тракта с заменой дробилок на объекте "Здание дробильного корпуса (инв.№ 00000010)".</t>
  </si>
  <si>
    <t>08.2017</t>
  </si>
  <si>
    <t xml:space="preserve">73-Р-17 от 21.06.2017 </t>
  </si>
  <si>
    <t>Ремонт электрооборудования РП-3</t>
  </si>
  <si>
    <t>Ремонт электротехнического оборудования:
 -Монтаж частотного регулирования ЛК-1;
 -Замена светильников приводных и натяжных станций ЛК  для филиала ОАО "Иркутскэнерго" ТЭЦ-16</t>
  </si>
  <si>
    <t>Ремонт электротехнического оборудованияРП-3  на филиале ПАО "Иркутскэнерго" ТЭЦ-16</t>
  </si>
  <si>
    <t>06.2017</t>
  </si>
  <si>
    <t xml:space="preserve">74-Р-17 от 21.06.2017 </t>
  </si>
  <si>
    <t>Ремонт освещения ТО</t>
  </si>
  <si>
    <t>Ремонт освещения КТЦ</t>
  </si>
  <si>
    <t>Ремонт освещения КТЦ на филиале ПАО "Иркутскэнерго" ТЭЦ-16</t>
  </si>
  <si>
    <t>08.2018</t>
  </si>
  <si>
    <t>2019
60%</t>
  </si>
  <si>
    <t>Ремонт освещения ТО на филиале ПАО "Иркутскэнерго" ТЭЦ-16</t>
  </si>
  <si>
    <t>Ремонт электрооборудования на филиале ПАО "Иркутскэнерго" ТЭЦ-16</t>
  </si>
  <si>
    <t xml:space="preserve">Ремонт электрооборудования </t>
  </si>
  <si>
    <t>70-Р-18 от 28.08.2018</t>
  </si>
  <si>
    <t>71-Р-18 от 02.10.2018</t>
  </si>
  <si>
    <t>10.2018</t>
  </si>
  <si>
    <t>2019
81%</t>
  </si>
  <si>
    <t>19-2018-ОКС-ц от 27.01.2016</t>
  </si>
  <si>
    <t>01.2016</t>
  </si>
  <si>
    <t xml:space="preserve">Строительно-монтажные и пусконаладочные работы по объекту: "Реконструкция ВЛ 220 кВ 1 цепь Седановский переключательный пункт - Богучанская ГЭС с переводом ее на напряжение 35 кВ; ПС 220/35 Джижива и СПП 220/6" (Замена кабеля 6 кВ Т-2 на СПП-220)
</t>
  </si>
  <si>
    <t xml:space="preserve">Строительно-монтажные и пусконаладочные работы по объекту: «Реконструкция ВЛ 220 кВ 1 цепь Седановский переключательный пункт - Богучанская ГЭС с переводом ее на напряжение 35 кВ; ПС 220/35 Джижива и СПП 220/6" с поставкой оборудования.
</t>
  </si>
  <si>
    <t>70-СЭС-2016-ОКС-м от 21.12.2016</t>
  </si>
  <si>
    <t>01-СЭС-2018-ОКС-ц от 16.02.2018</t>
  </si>
  <si>
    <t>Строительно-монтажные и пусконаладочные работы по объекту "Замена АБ и ВАЗП на ПС СЭС" (ПС "Западная")</t>
  </si>
  <si>
    <t>Замена аккумуляторной батареи и выпрямительного агрегата типа ВАЗП</t>
  </si>
  <si>
    <t xml:space="preserve">27-СЭС-2016-ОКС-м от 26.07.2016 </t>
  </si>
  <si>
    <t>03.2018</t>
  </si>
  <si>
    <t>Строительно-монтажные и пусконаладочные работы по объекту "Замена АБ и ВАЗП на ПС СЭС" (ПС № 6)</t>
  </si>
  <si>
    <t>ПС "Западная" 
г. Братск Иркутская обл.</t>
  </si>
  <si>
    <t>ПС 220/110/10 кВ "Опорная"
ПС 110/6 кВ "Вихоревка"
Реконструкция ПС
Иркутская обл.</t>
  </si>
  <si>
    <t xml:space="preserve">Строительно-монтажные и пусконаладочные работы по объекту: «Замена ВМТ на элегазовые выключатели на ПС филиала ОАО "ИЭСК" СЭС» </t>
  </si>
  <si>
    <t xml:space="preserve">Замена выключателей маломасляных серии ВМТ на элегазовые выключатели </t>
  </si>
  <si>
    <t xml:space="preserve">16-СЭС-2017-ОКС-м от 11.05.2017 </t>
  </si>
  <si>
    <t>13.5</t>
  </si>
  <si>
    <t xml:space="preserve">34-СЭС-2017-ОКС-ц от 10.07.2017 </t>
  </si>
  <si>
    <t>Демонтаж и монтаж оборудования РЗА и ВЧ связи на ПС "Лена"</t>
  </si>
  <si>
    <t>Монтажные и пусконаладочные работы по объекту «ПС-500 кВ «Усть-Кут», с заходами 500 кВ и 220 кВ». Реконструкция РЗА ПС «Лена» (инв. №9001310011), с поставкой оборудования, для нужд филиала ОАО «ИЭСК» Северные электрические сети.</t>
  </si>
  <si>
    <t>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</si>
  <si>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 xml:space="preserve">26-СЭС-2016-ОКС-м от 26.07.2016 </t>
  </si>
  <si>
    <t xml:space="preserve">31р-2017об от 28.09.2017 </t>
  </si>
  <si>
    <t>Капитальный ремонт освещения ОРУ-220 кВ ПС № 6 г. Усть-Илимск, РЭС-2, для нужд филиала ОАО «ИЭСК» «Северные электрические сети»</t>
  </si>
  <si>
    <t xml:space="preserve">Капитальный ремонт освещения ОРУ-220 кВ </t>
  </si>
  <si>
    <t>Капитальный ремонт освещения ОРУ-220-35 кВ ПС № 3 г. Усть-Илимск, РЭС-2, для нужд филиала ОАО «ИЭСК» «Северные электрические сети»</t>
  </si>
  <si>
    <t xml:space="preserve">ПС 500/220/10 кВ "БПП" (Братский переключательный пункт) 
п.Турма Иркутская область </t>
  </si>
  <si>
    <t xml:space="preserve">30р-2017об от 28.09.2017 </t>
  </si>
  <si>
    <t xml:space="preserve">Строительно-монтажные работы по объекту: "Охранные мероприятия объектов СЭС" (БПП-500) для нужд филиала ОАО «ИЭСК» Северные электрические сети </t>
  </si>
  <si>
    <t>04-СЭС-2017 ОКС-м от 11.04.2018</t>
  </si>
  <si>
    <t>04.2018</t>
  </si>
  <si>
    <t>07.2018</t>
  </si>
  <si>
    <t xml:space="preserve">28-СЭС-2018-ОКС-м от 03.07.2018 </t>
  </si>
  <si>
    <t>ПС "Городская" 
г. Братск Иркутская обл.</t>
  </si>
  <si>
    <t xml:space="preserve">Строительно-монтажные, наладочные работы по объекту : «Электроснабжение мелких потребителей» (ПС Городская) с поставкой оборудования для нужд филиала ОАО «ИЭСК» Северные электрические сети </t>
  </si>
  <si>
    <t>55 -СЭС-2018-ОКС-м от 21.09.2018</t>
  </si>
  <si>
    <t xml:space="preserve">Строительно-монтажные и пусконаладочные работы по объекту: «Замена ТН 110-500кВ» (ПС Коршуниха), </t>
  </si>
  <si>
    <t>«Замена ТН 110-500кВ</t>
  </si>
  <si>
    <t>09.2018</t>
  </si>
  <si>
    <t xml:space="preserve">05.2019 
(на 01.05.2019-58%)
</t>
  </si>
  <si>
    <t xml:space="preserve">ПС 220/110/10 кВ "Заводская"
Реконструкция ПС
г. Братск, Иркутская обл.
</t>
  </si>
  <si>
    <t>54-СЭС-2018-ОКС-м от  21.09.2018</t>
  </si>
  <si>
    <t>Строительно-монтажные и пусконаладочные работы по объекту: «Замена ТН 110-500кВ» (ПС Заводская)</t>
  </si>
  <si>
    <t>Замена ТН 110-500кВ</t>
  </si>
  <si>
    <t>Строительно-монтажные, пусконаладочные работы, поставка материалов и оборудования по объекту «Реконструкция цепей напряжения ОРУ-220 кВ ПС «Черемхово»</t>
  </si>
  <si>
    <t xml:space="preserve"> ПС «Черемхово»
Иркутская обл.</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</si>
  <si>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665821. тел. 8(3955)502740
Директор филиала  Старцев Максим Владимирович</t>
  </si>
  <si>
    <t xml:space="preserve">220ТН-СМР от 05.12.2016 </t>
  </si>
  <si>
    <t>26-204.031/2017 от 18.07.2017</t>
  </si>
  <si>
    <t xml:space="preserve">Строительно-монтажные и пусконаладочные работы по объекту: «ПС500/220/110/35/10/6 "Иркутская". Реконструкция ПС "Иркутская" в связи с заменой трансформаторов тока 500кВ ТТ-500 1В-10 на газонаполненные типа ТОГП-500 в составе объектов:
- ГПП-1 ОРУ-500 кВ 1В10 (инв.№ 700Б000656);
- ГПП-1 ОРУ-500 кВ ячейка 1В10 (инв.№700Б000689)»,
</t>
  </si>
  <si>
    <t xml:space="preserve">ПС500/220/110/35/10/6 "Иркутская"
г. Ангарск, Иркутская область </t>
  </si>
  <si>
    <t xml:space="preserve">36-204.031/2018 от 25.06.2018 </t>
  </si>
  <si>
    <t xml:space="preserve">65-204.031/2018 от 01.07.2018 </t>
  </si>
  <si>
    <t xml:space="preserve">66-204.031/2018 от 01.07.2018 </t>
  </si>
  <si>
    <t xml:space="preserve">92-204.031/2018 от 08.10.2018 </t>
  </si>
  <si>
    <t>ПС 110\35\10 кВ "Иваническая"
Аларский район, Иркутская область</t>
  </si>
  <si>
    <t>Замена масляных выключателей МВ-110 Т-1, МВ-110 Т-2 на элегазовые</t>
  </si>
  <si>
    <t xml:space="preserve">1-ЮЭС-2016(Бытовая) от 08.02.2016 </t>
  </si>
  <si>
    <t>По объекту: «Реконструкция ПС 220 кВ Бытовая (замена Т-1 и Т-2 на 63 МВА, перевод нагрузки 1, 2 СШ-6 кВ на 3,4 СШ-6 кВ)» (инв. № 5000140853), выполнить разработку проектной и рабочей документации, инженерные изыскания, строительно-монтажные, наладочные работы, поставку оборудования, перевозку автотрансформаторов)</t>
  </si>
  <si>
    <t xml:space="preserve">ПС 220/10/6 кВ "Бытовая" 
г. Иркутск
Реконструкция ПС    </t>
  </si>
  <si>
    <t xml:space="preserve">ПС 220/10/6 кВ "Бытовая" 
ПС Кировская
Иркутская обл.
Реконструкция ПС    </t>
  </si>
  <si>
    <t>30.04.2016</t>
  </si>
  <si>
    <t xml:space="preserve">Строительно-монтажные, наладочные работы по объекту: "Реконструкция ПС 220 кВ Бытовая (замена Т-1 и Т-2 на 63 МВА, перевод нагрузки 1, 2 СШ - 6 кВ на 3, 4 СШ - 6 кВ) (инв.№ 5000140853) </t>
  </si>
  <si>
    <t>2-ЮЭС-2016(Бытовая) от 06.07.2016</t>
  </si>
  <si>
    <t>24.03</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</si>
  <si>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ЮЭС Черняков В.И</t>
  </si>
  <si>
    <t xml:space="preserve">СМР, наладочные работы. поставка оборудования по объекту: "Реконструкция ПС 220 кВ Байкальская (монтаж 3 и 4 секции шин 10 кВ)" (инв.№ 500014270) 
</t>
  </si>
  <si>
    <t xml:space="preserve">1-ЮЭС-2016 (Байкальская) от 06.07.2016 </t>
  </si>
  <si>
    <t>29.1</t>
  </si>
  <si>
    <t>29.2</t>
  </si>
  <si>
    <t xml:space="preserve">ПС 220/110/10 кВ Правобережная
Иркутская обл.
Реконструкция ПС    </t>
  </si>
  <si>
    <t>2-ЮЭС-2017(ЗВ) от 30.05.2017</t>
  </si>
  <si>
    <t>05.2017</t>
  </si>
  <si>
    <t>Строительно-монтажные, наладочные работы, поставка оборудования по титулу: «Замена МВ-220-110 кВ с недостаточной отключающей способностью и выключателей типа ВМТ на элегазовые выключатели» в составе: Лот 2,
«ОВ-110 и ШСВ-110 ПС Правобережная».</t>
  </si>
  <si>
    <t>Замена МВ-220-110 кВ с недостаточной отключающей способностью и выключателей типа ВМТ на элегазовые выключатели</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</si>
  <si>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ЮЭС Прошутинский А.Л.</t>
  </si>
  <si>
    <t xml:space="preserve">Разработка проектной, рабочей документации, ОВОС, инженерных изысканий, прохождение негосударственной экспертизы, сопровождение прохождения экологической экспертизы, по титулу «ПС 110/35/10 кВ Дачная» для нужд филиала ОАО «ИЭСК» «Южные электрические сети» </t>
  </si>
  <si>
    <t>ПС 110/35/10 кВ Дачная
Иркутская обл.</t>
  </si>
  <si>
    <t>03.2019
(на 12.2018- 92%)</t>
  </si>
  <si>
    <t xml:space="preserve">Строительно-монтажные, наладочные работы по титулу: «Замена высоковольтных вводов 110-220 кВ» в составе: Лот 2,
"Замена горизонтальных вводов 110 кВ Т-1, Т-2 ПС 110 кВ Центральная (инв. № 5000140416)";
"Замена вводов 110 кВ ф В и С на АТ-8 (типа АТДЦТН 200000/220) ПС Шелехово   (инв. № 5000140301)";
    "Замена горизонтальных вводов ВЛ-110 ГЭС ПС 110 кВ Центральная (инв. № 5000140416)".
</t>
  </si>
  <si>
    <t xml:space="preserve"> ПС 110 кВ Центральная
 ПС Шелехово
Иркутская обл.
</t>
  </si>
  <si>
    <t>1-ЮЭС-2017(Дачная) от 05.05.2017</t>
  </si>
  <si>
    <t>2-ЮЭС-2017(ЗВВ) от 13.07.2017</t>
  </si>
  <si>
    <t>ПС 35 кВ Марково
Иркутская обл.</t>
  </si>
  <si>
    <t>Ремонт стен по р. А-Б отм. 4.00 – 12.000</t>
  </si>
  <si>
    <t xml:space="preserve">020/2016-ГЭМ от 21.12.2016 </t>
  </si>
  <si>
    <t>Ремонт  стен по р. А-Б отм. 4.00 – 12.000 на филиале ПАО «Иркутскэнерго» Усть-Илимская ТЭЦ</t>
  </si>
  <si>
    <t>11.2019 
на 01.05.2019
17%</t>
  </si>
  <si>
    <t>1-ЮЭС-2017(Марково) от 21.07.2017</t>
  </si>
  <si>
    <t>1-ЮЭС-2017(ЗТН) от 17.08.2017</t>
  </si>
  <si>
    <t xml:space="preserve">Замена ТН-1-220, ТН-2-220, ТН-3-220 ПС Шелехово (инв. № 5000140528)";
"Замена ТН-1-110, ТН-2-110 ПС Шелехово (инв. № 5000140528)".     
</t>
  </si>
  <si>
    <t xml:space="preserve">Строительно-монтажные, наладочные работы, поставка оборудования по титулу: «Замена трансформаторов напряжения» в составе: Лот 1,
"Замена ТН-1-220, ТН-2-220, ТН-3-220 ПС Шелехово (инв. № 5000140528)";
"Замена ТН-1-110, ТН-2-110 ПС Шелехово (инв. № 5000140528)".     
</t>
  </si>
  <si>
    <t>07.2019
на 01.05.2019-98%</t>
  </si>
  <si>
    <t xml:space="preserve">Разработка проектной и рабочей документации, ОВОС, выполнение полного комплекса инженерных изысканий, прохождение негосударственной экспертизы, сопровождение экологической экспертизы по объекту: «ПС 110 кВ Зелёный берег с ВЛ 110 кВ» </t>
  </si>
  <si>
    <t>ПС 110 кВ Зелёный берег
Иркутская обл.</t>
  </si>
  <si>
    <t xml:space="preserve">1-ЮЭС-2017(ЗБ) от 18.09.2017 </t>
  </si>
  <si>
    <t>07.2019
на 01.05.2019  67%</t>
  </si>
  <si>
    <t xml:space="preserve">разработка проектной и рабочую документации;
• СМР;
• выполнение пуска-наладочных и измерительных работ 
</t>
  </si>
  <si>
    <t xml:space="preserve">Электромонтажные работы на объекте филиала ПАО «Иркутскэнерrо» Усть-Илимская ТЭЦ: «Техническое перевооружение напорных канализационных трубопроводов правого берега с установкой приборов автоматического учета» в г. Усть-Илимск </t>
  </si>
  <si>
    <t xml:space="preserve">Ремонт электротехнического оборудования:
 -Ремонт электроосвещения электроцеха;
 -Ремонт освещения дымовой трубы ст.№2; 
 -Монтаж контура заземления оперативной лаборатории для филиала ОАО "Иркутскэнерго" ТЭЦ-16 </t>
  </si>
  <si>
    <t>ПС-110/35/10 кВ "Киренская"
Реконструкция ПС
Иркутская область, г. Киренск</t>
  </si>
  <si>
    <t xml:space="preserve">ПС "Падунская" 
Реконструкция ПС 
г. Братск,  Иркутская  обл.
</t>
  </si>
  <si>
    <t>ПС  № 6
г. Усть-Илимск, Иркутская обл.</t>
  </si>
  <si>
    <t>ПС  № 3
г. Усть-Илимск, Иркутская обл.</t>
  </si>
  <si>
    <t>замена масляного выключателя МВ-220 ВЛ-210 на баковый элегазовый выключатель </t>
  </si>
  <si>
    <t xml:space="preserve">Строительно-монтажные, пусконаладочные работы по объекту: «ПС 110/35/10 "Иваническая" Замена МВ-110 Т-1, МВ-110 Т-2 на элегазовые (с заменой ТТ)»  в объёме реконструкции строительно-монтажные, пусконаладочные работ по объекту: «ПС 110/35/10 "Иваническая" Замена МВ-110 Т-1, МВ-110 Т-2 на элегазовые (с заменой ТТ)»  в объёме реконструкции «ПС 110\35\10 кВ "Иваническая" » (ивн.№ 7000041604)  » (ивн.№ 7000041604) </t>
  </si>
  <si>
    <t>Разработка проектной и рабочей документацию, ОВОС, выполнение инженерно-геодезических, инженерно-геологических, гидрометеорологических изысканий, прохождение негосударственной экспертизы, сопровождение экологической экспертизы по объекту: «Перевод РП-10 кВ Марково в ПС 35 кВ Марково (Т-1 Т-2 по 16 МВА, ОРУ-35 кВ, КРУН)»</t>
  </si>
  <si>
    <t xml:space="preserve">Разработка проектной и рабочей документацию, ОВОС, выполнение инженерно-геодезических, инженерно-геологических, гидрометеорологических изысканий, прохождение негосударственной экспертизы, сопровождение экологической экспертизы </t>
  </si>
  <si>
    <t xml:space="preserve">Разработка проектной и рабочей документации  по объектам: 
«Строительство объекта: ПС 35/10 кВ Поздняково с отходящими ВЛ 10 кВ» «Реконструкция объекта: ВЛ-35кВ Коты - Хомутово от опоры №58 до опоры №154 инв. №6000100013»; 
«Строительство объекта: ПС 35/10 кВ Садоводство» «Строительство объекта: ВЛ 35 кВ Столбово - Садоводство 2-й этап» «Реконструкция объекта: ВЛ 10 кВ Карлук - Глазуново от ПС 110 кВ Карлук до оп.168 с.Рыбацкое инв № 6000100085»; «Реконструкция объекта: ВЛ 35 кВ Пивовариха – Худяково инв. № 6000916700" "Строительство объекта: ПС 35/10 кВ Светлячки с ВЛ 10 кВ»; «Строительство объекта: ПС 35/10 кВ Геологическая» «Строительство объекта: ВЛ 35 кВ Столбово – Усть-Куда 2-й этап», «Реконструкция объекта: ВЛ-10кВ Грановщина - Усть-Куда Цепь Б от ПС 35/10кВ Грановщина до опоры 202 с.Усть-Куда инв. № 6000100098», «Реконструкция объекта:ВЛ-10кВ Грановщина-Усть-Куда Цепь А от ПС 35/10 кВ Грановщина до оп.181с.Усть-Куда инв. № 6000100099» </t>
  </si>
  <si>
    <t xml:space="preserve">ПС 35/10 кВ Поздняково
ПС 35/10 кВ Садоводство
ПС 35/10 кВ Светлячки
 ПС 35/10 кВ Геологическая
Иркутская обл.
</t>
  </si>
  <si>
    <t xml:space="preserve">017/03-ВЭС-2018 от 27.03.2018 </t>
  </si>
  <si>
    <t>10.2019 
на 01.05.19 16%</t>
  </si>
  <si>
    <t>ПС 500/220/110/10 кВ Тулун</t>
  </si>
  <si>
    <t xml:space="preserve">17/ЗЭС от 15.02.2017 </t>
  </si>
  <si>
    <t>Ремонт реактора Р-1-500 кВ открытого распределительного устройства 500 кВ ПС 220/110/10 (ПП 500) кВ Тулун с транспортировкой резервной фазы РОМБС-60000/500 с ПС Тайшет-500.</t>
  </si>
  <si>
    <t>Ремонт реактора Р-1-500 кВ открытого распределительного устройства</t>
  </si>
  <si>
    <t>02.2017</t>
  </si>
  <si>
    <t>1-ЮЭС-2017(ПСРКК) от 30.05.2017</t>
  </si>
  <si>
    <t>Разработка проектной, рабочей документации, ОВОС, инженерно- геодезических, инженерно-геологических, инженерно-экологических изысканий, прохождение негосударственной экспертизы, сопровождение прохождения экологической экспертизы по титулу «ПС 110/10/6 кВ РКК-2 с КЛ-110 кВ "Кировская  -  ПП-3 -  РКК-2"»</t>
  </si>
  <si>
    <t>Разработка проектной и рабочей документации, ОВОС, выполнение полного комплекса инженерных изысканий, прохождение негосударственной экспертизы, сопровождение экологической экспертизы</t>
  </si>
  <si>
    <t xml:space="preserve">Разработка проектной и рабочей документации, ОВОС, выполнение полного комплекса инженерных изысканий, прохождение негосударственной экспертизы, сопровождение экологической экспертизы </t>
  </si>
  <si>
    <t xml:space="preserve"> ПС 110/10/6 кВ РКК-2 
Иркутская обл.</t>
  </si>
  <si>
    <t>09.2019
на 01.05.2019
 13%</t>
  </si>
  <si>
    <t>ОАО «Иркутская электросетевая компания»
664033, г. Иркутск, ул. Лермонтова 257,Тел: (3952) 792-459 Факс: (3952) 792-461
Генеральный директор Б.Н. Каратаев
Филиал Западные электрические сети 
665253 г. Тулун, пер. Энергетиков 6. 
Директор Терских Ю.Н.;</t>
  </si>
  <si>
    <t>131/ЗЭС от 14.08.2017</t>
  </si>
  <si>
    <t xml:space="preserve">95/ЗЭС от 26.04.2018 </t>
  </si>
  <si>
    <t>Услуги по техническому  обслуживанию устройств РЗА и ПА оборудования ВЛ-579 и КВЛ-576 на ПС 500/220/35 кВ Озерная</t>
  </si>
  <si>
    <t>Техническое обслуживание устройств РЗА и ПА ВЛ-579 на ПС 500 кВ Озерная</t>
  </si>
  <si>
    <t xml:space="preserve">88/ЗЭС от 16.04.2018 </t>
  </si>
  <si>
    <t>Услуги по тех.обслуживанию устройств РЗА и ПА оборудования 110-500 кВ на ПС Тайшет и ПС 500 кВ Озерная</t>
  </si>
  <si>
    <t xml:space="preserve">208/ЗЭС-18 от 20.09.2018 </t>
  </si>
  <si>
    <t>Такелажные работы по разгрузке оборудования по объекту "Строительство ПС 500/220/35 кВ Озерная 2 пусковой комплекс по программе "Технологические присоединения к сетям филиала"</t>
  </si>
  <si>
    <t>11.2018</t>
  </si>
  <si>
    <t xml:space="preserve">220/ЗЭС-18 от 19.10.2018 </t>
  </si>
  <si>
    <t xml:space="preserve">215/ЗЭС-18 от 25.09.2018  </t>
  </si>
  <si>
    <t>СМР по объекту «Строительство ПС 500/220/35 кВ Озерная 2 пусковой комплекс» по программе «Технологическое присоединение к электрическим сетям филиала».</t>
  </si>
  <si>
    <t xml:space="preserve">Строительно-монтажные, пусконаладочные работы, поставка оборудования по титулу "Технологическое присоединение к электрическим сетям ОАО "ИЭСК" дополнительных энергопринимающих устройств ООО "ОК РУСАЛ Анодная Фабрика" на ПС 500/220/35 кВ Озерная» (инв.№ 8000261575) </t>
  </si>
  <si>
    <t>03.2019</t>
  </si>
  <si>
    <t>06.2019</t>
  </si>
  <si>
    <t xml:space="preserve">017-079-16 от 11.01.2016 </t>
  </si>
  <si>
    <t xml:space="preserve"> - проверка д-вия расцепителей авт вык-лей;
- измер сопр-ния изоляции проводов и кабелей эл/об и втор цепей;
- проверка соединений зазем-лей;
- проверка полного сопр-ния петли "фаза-0"
- измер сопр-ния зазем устр-ва</t>
  </si>
  <si>
    <t>Профилактические испытания электрооборудования  на объектах Хлорного пр-ва</t>
  </si>
  <si>
    <t>017-2337-15 от 18.12.15</t>
  </si>
  <si>
    <t>017-017-16 от 14.01.16</t>
  </si>
  <si>
    <t>017-189-16 от 15.01.2016</t>
  </si>
  <si>
    <t>Предпроектное обследование вторичных цепей ГПП-3, РП-26 на Хлорном производстве</t>
  </si>
  <si>
    <t>Электромонтажные и пусконаладочные работы для реализации инвестиционного проекта "Монтаж трубопровода подачи серной кислоты в варочно-отбельный цех производства лиственной целлюлозы" ВОЦ ПЛЦ</t>
  </si>
  <si>
    <t xml:space="preserve">Реализация проекта "Монтаж частотных преобразователей на электродвигателях станции перекачки уплотненного осадка"  </t>
  </si>
  <si>
    <t>Предпроектное обследование вторичных цепей ГПП-3, РП-26</t>
  </si>
  <si>
    <t xml:space="preserve">Реализация проекта "Монтаж трубопровода подачи серной кислоты в варочно-отбельный цех производства лиственной целлюлозы" </t>
  </si>
  <si>
    <t>017-173-16 от 24.02.16 доп.согл.1</t>
  </si>
  <si>
    <t>017-826-16 от 06.05.16</t>
  </si>
  <si>
    <t>017-824-16 от 06.05.16</t>
  </si>
  <si>
    <t>017-972-16 от 20.05.16</t>
  </si>
  <si>
    <t>017-943-16 от 05.05.16</t>
  </si>
  <si>
    <t>017-912-16 от 01.06.16</t>
  </si>
  <si>
    <t>017-1052-16 от 13.05.16</t>
  </si>
  <si>
    <t>Реализация проекта</t>
  </si>
  <si>
    <t>Реализация проекта "Приобретение дизельной генераторной установки"</t>
  </si>
  <si>
    <t>ПНР системы резервного питания эл.оборудования 0,4 кВ в  рамках проекта "Приобретение дизельной генераторной установки класса "G3" ЭДД-500-4.  Хлорное производство.</t>
  </si>
  <si>
    <t>Реализация проекта "Приобретение и замена масляного трансформатора ТРДЦН 80000/110"</t>
  </si>
  <si>
    <t>Электромонтажные работы для реализации инвестиционного проекта: "Приобретение и замена масляного трансформатора ТРДЦН 80000/110". 
Хлорное производство.</t>
  </si>
  <si>
    <t>Кабельная трасса 6 кВ от ГПП-ГСМ</t>
  </si>
  <si>
    <t>Электромонтажные работы по изменению линии питания ТП-122,ТП-123 с прокладкой кабеля 6 кВ (Кабельная трасса 6 кВ от ГПП-ГСМ) УЭС</t>
  </si>
  <si>
    <t>Электромонтажные работы для реализации инвестиционного проекта: "Замена вентиляторов-разрывателей ПРС". ЦП-1</t>
  </si>
  <si>
    <t>Реализация проекта "Замена вентиляторов-разрывателей ПРС"</t>
  </si>
  <si>
    <t xml:space="preserve">017-1043-16 от 31.05.16 </t>
  </si>
  <si>
    <t>Реализация проекта "Модернизация внутрицеховой логистики"</t>
  </si>
  <si>
    <t>Реализация проекта "Техническое перевооружение котла Е-75-40К ст.№16"</t>
  </si>
  <si>
    <t>ЦЭС Хлорного производства</t>
  </si>
  <si>
    <t>Работы на объекте ЦЭС Хлорного производства:
- капитальный ремонт трансформатора ТРДЦН-80000 КВА 110/10/10кВ зав. №7 (инв. №36201040001597);
- капитальный ремонт выпрямительного агрегата ВАКВ 32000/600 (инв. №36201040017079);
- пусконаладочные работы по испытанию трансформатора. схемы управления. защиты и автоматики ТРДЦН-80000 КВА 110/10/10кВ Т1 ГПП-3, трансформатора КВА-6 типа ТДНП 32000/10/04 кВ,  выпрямительный агрегат ВАКВ 32000/600.</t>
  </si>
  <si>
    <t>017-1179-16 от 14.07.16</t>
  </si>
  <si>
    <t>017-1374-16 от 25.07.2016</t>
  </si>
  <si>
    <t>017-1555-16 от 07.09.16</t>
  </si>
  <si>
    <t>290-1381-16 от 15.08.16</t>
  </si>
  <si>
    <t>010-1800-16 от 08.10.16</t>
  </si>
  <si>
    <t>010-1804-16 от 08.10.16</t>
  </si>
  <si>
    <t>010-1943 от 01.09.2016</t>
  </si>
  <si>
    <t xml:space="preserve">Реализация проекта "Модернизация электрофильтров СРК-11" </t>
  </si>
  <si>
    <t>Электромонтажные и пусконаладочные работы  для реализации инвестиционного проекта: "Модернизация электрофильтров СРК-11" ПРиЭ</t>
  </si>
  <si>
    <t>Электромонтажные работы на объектах Производства хвойной целлюлозы (ПХЦ). Прокладка кабеля</t>
  </si>
  <si>
    <t>Производства хвойной целлюлозы (ПХЦ)</t>
  </si>
  <si>
    <t xml:space="preserve">Реализация проекта "Реконструкция насосной станции промышленных стоков №4 (НСП-4)" </t>
  </si>
  <si>
    <t>Электромонтажные и пусконаладочные  работы д по переносу ящиков управления задвижками. Насосный агрегат №4. для реализации инвестиционного проекта: "Реконструкция насосной станции промышленных стоков №4 (НСП-4)"  ПВиИК</t>
  </si>
  <si>
    <t>Электромонтажные  работы д по установке силового оборудования для реализации инвестиционного проекта: "Раздельная подача щепы на производство хвойной целлюлозы с открытого склада щепы №2 по пневмосистеме №1022-17 и ДПЦ-3" ЦПС ПЩ</t>
  </si>
  <si>
    <t>Реализация проекта  "Раздельная подача щепы на производство хвойной целлюлозы с открытого склада щепы №2 по пневмосистеме №1022-17 и ДПЦ-3"</t>
  </si>
  <si>
    <t>Устройство прожекторного освещения на территории 2-ой очереди ЦВиПД Лесной Биржи</t>
  </si>
  <si>
    <t xml:space="preserve">Территория 2-ой очереди ЦВиПД Лесной Биржи </t>
  </si>
  <si>
    <t>Реализация проекта "Установка новой ТП взамен ТП-40"</t>
  </si>
  <si>
    <t>Выполнение ЭМР по инвестиционному проекту "Установка новой ТП взамен ТП-40" (комплексная трансформаторная подстанция № 40) ТЭС-2</t>
  </si>
  <si>
    <t xml:space="preserve">010-1591-16 от 18.08.16 </t>
  </si>
  <si>
    <t xml:space="preserve">010-1655-16 от 01.09.16 </t>
  </si>
  <si>
    <t xml:space="preserve">017-1716-16 от 15.09.16 </t>
  </si>
  <si>
    <t xml:space="preserve">Электромонтажные и пусконаладочные  работы  ппо замене силовых трансформаторов в ТП-63 ПХЦ для реализации инвестиционного проекта "Установка новых трансформаторов взамен трансформаторов ТП-63" УЭС
</t>
  </si>
  <si>
    <t xml:space="preserve">Реализация проекта "Установка новых трансформаторов взамен трансформаторов ТП-63" </t>
  </si>
  <si>
    <t xml:space="preserve">Электромонтажные работы  по замене масляных выключателей на вакуумные в РП-17 (оборудование распредустройства) на участке энергоснабжения (УЭС) </t>
  </si>
  <si>
    <t xml:space="preserve"> Участок энергоснабжения (УЭС) </t>
  </si>
  <si>
    <t>Цех энергоснабжения (ЦЭС) ХП.</t>
  </si>
  <si>
    <t xml:space="preserve">Электромонтажные и пусконаладочные работы по прокладке кабеля от РП-11 до ТП-110 в рамках инвестиционного проекта "Замена кабельных трасс"
</t>
  </si>
  <si>
    <t xml:space="preserve">Реализация проекта "Замена кабельных трасс"
</t>
  </si>
  <si>
    <t>Электромонтажные и пусконаладочные  работы  по выносу кабельной трассы, проложенной в траншее по территории  "Водозабора" от ГПП-1 до РП-16, без изменения существующих нагрузок, для реализации инвестиционного проекта "Замена высоковольтного кабеля"</t>
  </si>
  <si>
    <t xml:space="preserve">010-2315-16 от 19.12.16 </t>
  </si>
  <si>
    <t>Реализация проекта "Замена высоковольтного кабеля"</t>
  </si>
  <si>
    <t>017-266-17 от 01.03.17</t>
  </si>
  <si>
    <t>010-305-17 от 24.02.17</t>
  </si>
  <si>
    <t>017-524-17 от 03.04.2017</t>
  </si>
  <si>
    <t xml:space="preserve">017-659-17 от 21.04.2017 </t>
  </si>
  <si>
    <t>017-680-17 от 20.04.17</t>
  </si>
  <si>
    <t>010-676-17 от 20.04.17</t>
  </si>
  <si>
    <t>010-778-17 от 16.05.2017</t>
  </si>
  <si>
    <t>010-798-17 от 30.05.2017</t>
  </si>
  <si>
    <t>010-985-17 от 23.06.2017</t>
  </si>
  <si>
    <t>010-1254-17 от 05.07.2017</t>
  </si>
  <si>
    <t>017-1137-17 от 03.07.2017</t>
  </si>
  <si>
    <t>010-1126-17 от 01.07.17 
доп.согл 1</t>
  </si>
  <si>
    <t>010-1405-17 от 24.08.2017 
доп.согл1</t>
  </si>
  <si>
    <t xml:space="preserve">010-1926-17 от 23.11.2017 </t>
  </si>
  <si>
    <t xml:space="preserve">Профилактические испытания электрооборудования на объектах Хлорного производства </t>
  </si>
  <si>
    <t xml:space="preserve"> -устройство временной кабельной трассы для переноса БКТП МНС из зоны строительства вакуум-выпарной установки №8 (ВВУ №8) по проекту 9056-2-25-АС1;
-устройство кабельной трассы и фундамента под  БКТП МНС по проекту 9056-2-25-АС2;
-электромонтажные работы по выносу БКТП МНС из зоны строительства ВВУ №8 по проекту 9056-2-25-ЭС2;
-ПНР по выносу  БКТП МНС из зоны строительства ВВУ №8 по проектам 9056-2-25-ЭС1, 9056-2-25-ЭС2.</t>
  </si>
  <si>
    <t>Прогрузка автоматических выключателей</t>
  </si>
  <si>
    <t>Модернизация узла подачи небеленой массы варочной установки ПХЦ. Варочная установка Инв. № 36201040013281</t>
  </si>
  <si>
    <t>Электромонтажные работы по устройству временной системы электроснабжения и электроосвещения строительной площадки вакуум-выпарной установки № 8</t>
  </si>
  <si>
    <t xml:space="preserve">Демонтаж трансформатора типа ТДНП-25000/10У1 КВА-5 (выпрямительный агрегат ВАКВ 25000/450, инв.№36201040007031) Хлорного производства </t>
  </si>
  <si>
    <t xml:space="preserve">Электромонтажные и пусконаладочные работы для реализации инвестиционного проекта "Реконструкция насосной станции промышленных стоков № 4 (НСП-4)" </t>
  </si>
  <si>
    <t xml:space="preserve">Реализация проекта  "Реконструкция насосной станции промышленных стоков № 4 (НСП-4)" </t>
  </si>
  <si>
    <t>04.2017</t>
  </si>
  <si>
    <t>Строительно-монтажные работы  для реализации проекта "Сбор CNSG-газов и сжигание на печах ЦКРИ. Сбор скипидара на ЦВВ. Регенерация скипидара в ЛЦХ".</t>
  </si>
  <si>
    <t>Реализация проекта  "Сбор CNSG-газов и сжигание на печах ЦКРИ. Сбор скипидара на ЦВВ. Регенерация скипидара в ЛЦХ".</t>
  </si>
  <si>
    <t>Строительно-монтажные и  пусконаладочные работы для реализации инвестиционного проекта "Приобретение и замена масляного трансформатора ТРДЦН 80000/110" на хлорном производстве</t>
  </si>
  <si>
    <t>Электромонтажные работы по переносу кабельной трассы для реализации инвестиционного проекта "Установка новой ТП взамен ТП-40" на ТЭС-2 (инв. № 36201040018655).</t>
  </si>
  <si>
    <t xml:space="preserve">Электромонтажные и пусконаладочные  работы для реализации инвестиционного проекта "Подщелачивание скрубберной воды ИРП №4,5,6" </t>
  </si>
  <si>
    <t xml:space="preserve">Реализация проекта "Подщелачивание скрубберной воды ИРП №4,5,6" </t>
  </si>
  <si>
    <t>Электромонтажные и пусконаладочные  работы по системе электрообогрева для реализации инвестиционного проекта "Подщелачивание скрубберной воды ИРП №4,5,6" по рабочей документации "Повышение щелочности подскрубберной воды" ЦКРИ</t>
  </si>
  <si>
    <t>Хлорное производство</t>
  </si>
  <si>
    <t xml:space="preserve"> Трансформатор ТРДЦН-80000 кВА 110/10/10 Хлорное производство. Демонтаж</t>
  </si>
  <si>
    <t xml:space="preserve">Демонтажные работы трансформатора ТРДЦН-80000 кВА 110/10/10 зав.№ 5. ХП </t>
  </si>
  <si>
    <t xml:space="preserve">Работы по испытаниям автоматических выключателей на щитах КИПиА в цехах №2, №3 Хлорного производства. </t>
  </si>
  <si>
    <t>Строительные и электромонтажные работы  по устройству освещения площадки под контейнерный терминал на базе оборудования для реализации проекта: "Модернизация внутрицеховой логистики"</t>
  </si>
  <si>
    <t>Строительно-монтажные и пусконаладочные работы  для реализации  инвестиционного проекта "Закупка трансформатора для цеха отбеливающих химикатов" на ХП, в т.ч.:
-перебазировка спецтехники для выполнения работ по перевозке трансформатора типаТДЦПУД-16000/10У1;
-перевозка трансформатора с базы оборудования АО "Группа Илим" на площадку цеха №5 ХП;
-монтажные и пусконаладочные работы трансформатора типаТДЦПУД-16000/10У1.</t>
  </si>
  <si>
    <t xml:space="preserve">Реализация проекта "Закупка трансформатора для цеха отбеливающих химикатов" </t>
  </si>
  <si>
    <t xml:space="preserve">010-698-17 
от 17.05.2017 </t>
  </si>
  <si>
    <t xml:space="preserve">017-807-17 от 19.05.2017 </t>
  </si>
  <si>
    <t>Перенос Блочной комплектной трансформаторной подстанции  БКТП МНС из зоны строительства вакуум-выпарной установки №8 (ВВУ №8)</t>
  </si>
  <si>
    <t>Реализация проекта "Модернизация узла подачи небеленой массы варочной установки ПХЦ"</t>
  </si>
  <si>
    <t>Реализация проекта "Строительство вакуум-выпарной установки № 8 (ВВУ № 8)"</t>
  </si>
  <si>
    <t xml:space="preserve">Работы на объектах Хлорного производства ЦЭС:
-текущий ремонт, пусконаладочные работы, измерения и испытания после текущего ремонта трансформатора типа ТДНП-25000/10 выпрямительного агрегата ВАКВ 25000/450 (инв.№ 36201040017034);
- текущий ремонт, пусконаладочные работы, измерения и испытания после текущего ремонта трансформатора типа ТДНП-3200/10 выпрямительного агрегата ВАКВ 32000/600 (инв.№ 36201040017079);
- пусконаладочные работы и измерения выпрямительного агрегата ВАКВ 32000/600 (инв.№ 36201040017079). 
</t>
  </si>
  <si>
    <t>Хлорное производство ЦЭС</t>
  </si>
  <si>
    <t xml:space="preserve">010-130-18 от 19.01.2018 </t>
  </si>
  <si>
    <t xml:space="preserve">SP0230 от 18.01.2018 </t>
  </si>
  <si>
    <t xml:space="preserve">010-232-18 от 01.03.2018 </t>
  </si>
  <si>
    <t>010-315-18 от 21.03.2018</t>
  </si>
  <si>
    <t xml:space="preserve">010-539-18 от 12.04.2018 </t>
  </si>
  <si>
    <t xml:space="preserve">010-878-18 от 29.05.2018 </t>
  </si>
  <si>
    <t xml:space="preserve">010-1072-18 от 28.06.2018 </t>
  </si>
  <si>
    <t xml:space="preserve">010-1066-18 от 26.06.2018 </t>
  </si>
  <si>
    <t>010-1224-18 от 23.07.2018</t>
  </si>
  <si>
    <t xml:space="preserve">Электромонтажные работы по устройству временной системы электроснабжения строительной площадки вакуум-выпарной установки № 8 (ВВУ № 8) по объекту Строительство вакуум-выпарной установки № 8  в филиале АО "Группа "Илим" в г. Братске. </t>
  </si>
  <si>
    <t>Работы по прогрузке автоматических выключателей энергооборудования на щитах КИПиА на объектах Хлорного производства.</t>
  </si>
  <si>
    <t xml:space="preserve">Капитальный ремонт трансформатора типа ТДНП-25000/10 КВА-1 (Выпрямительный агрегат  ВАКВ 25000/450 инв. № 362010400170340 </t>
  </si>
  <si>
    <t xml:space="preserve">Электромонтажные и пусконаладочные работы для реализации инвестиционного проекта "Строительство нового бакового хозяйства УКРИ" (расходный бак крепкого белого щелока беленый РВС-2000 3114-0050, инв. № 36201040021048) ПХиЛ ПРиЭ. </t>
  </si>
  <si>
    <t xml:space="preserve">Электромонтажные, пусконаладочные работы кабельной трассы 6 кВ от ГРУ ТЭС-3 до РП-9 с полной заменой м/конструкций и кабельных линий на участке: от западной стороны здания ТЭС-3 - северная сторона ПХЦ - здание насосной станции №4 (НСП-4). </t>
  </si>
  <si>
    <t>Работы по прогрузке автоматических выключателей (в объеме 74 шт.)  КТЦ ПРиЭ (Система электроснабжения СРК-3000 ст. № 14. Инв. № 36201040013272,  электрофильтр СРК -3000 ст. № 14. Инв. № 36201040013273, трансформатор ТСЗ 1000/6-0,4. Инв.№ 36201040013302. трансформатор ТСЗ 1000/6-0,4. Инв. № 36201040013303).</t>
  </si>
  <si>
    <t xml:space="preserve"> проверка действия расцепителей автоматических выключателей; 
- измерение сопротивления изоляции проводов и кабелей электрооборудования и вторичных цепей (до 1000В); 
- проверка соединений заземлителей с заземляемыми элементами; 
- проверка полного сопротивления петли "фаза-нуль"; 
- измерение сопротивления заземляющего устройства.</t>
  </si>
  <si>
    <t xml:space="preserve">Профилактические испытания на объектах Хлорного производства </t>
  </si>
  <si>
    <t>01.2018</t>
  </si>
  <si>
    <t>12.23018</t>
  </si>
  <si>
    <t xml:space="preserve">010-227-18 от 05.02.2018  </t>
  </si>
  <si>
    <t>Реализация проекта "Реконструкция картонного потока"</t>
  </si>
  <si>
    <t>Изготовление и монтаж металлических конструкций, лестниц, площадок, опор трубопроводов в рамках инвестиционного проекта "Реконструкция картонного потока" по работам "Сбор CNCG-газов и сжигание на печах ЦКРИ, сбор скипидара на ЦВВ. Регенерация скипидара в ЛХЦ. Участок сбора терпентинного конденсата" (здание сбора конденсата в ВК ДПГ)</t>
  </si>
  <si>
    <t>Работы по прогрузке автоматических выключателей (83 шт) энергооборудования на щитах КИПиА на объектах Хлорного производства цех №5.</t>
  </si>
  <si>
    <t>05.2018</t>
  </si>
  <si>
    <t xml:space="preserve">Производства филиала </t>
  </si>
  <si>
    <t>Реализация проекта "Строительство нового бакового хозяйства УКРИ"</t>
  </si>
  <si>
    <t xml:space="preserve">010-1075-18 от 02.07.2018 </t>
  </si>
  <si>
    <t xml:space="preserve">Кабельная трасса 6 кВ от ГРУ ТЭС-3 до РП-9 </t>
  </si>
  <si>
    <t xml:space="preserve"> КТЦ ПРиЭ</t>
  </si>
  <si>
    <t xml:space="preserve">Текущий ремонт электрооборудования в период летнего останова оборудования  филиала ОАО «Группа Илим» в г. Усть-Илимске </t>
  </si>
  <si>
    <t>ОАО "Группа «Илим"
191025, г. Санкт-Петербург, ул. Марата,17,
Филиал  ОАО "Группа «Илим" в г. Усть-Илимске, 666684, РФ, Иркутская обл., г. Усть-Илимск, промышленная площадка ЛПК
Т. (39535)93193</t>
  </si>
  <si>
    <t>Филиал  ОАО "Группа «Илим" в г. Усть-Илимске</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</si>
  <si>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</si>
  <si>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</si>
  <si>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</si>
  <si>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</si>
  <si>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</si>
  <si>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</si>
  <si>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</si>
  <si>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</si>
  <si>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</si>
  <si>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</si>
  <si>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</si>
  <si>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</si>
  <si>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</si>
  <si>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</si>
  <si>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</si>
  <si>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</si>
  <si>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</si>
  <si>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</si>
  <si>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</si>
  <si>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</si>
  <si>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</si>
  <si>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</si>
  <si>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</si>
  <si>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</si>
  <si>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</si>
  <si>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</si>
  <si>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</si>
  <si>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</si>
  <si>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</si>
  <si>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</si>
  <si>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</si>
  <si>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</si>
  <si>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</si>
  <si>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</si>
  <si>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</si>
  <si>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</si>
  <si>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</si>
  <si>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</si>
  <si>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</si>
  <si>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</si>
  <si>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</si>
  <si>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</si>
  <si>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</si>
  <si>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</si>
  <si>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</si>
  <si>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</si>
  <si>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</si>
  <si>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</si>
  <si>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</si>
  <si>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</si>
  <si>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Текущий ремонт электрооборудования</t>
  </si>
  <si>
    <t>11500/355 от 01.07.16</t>
  </si>
  <si>
    <t>60.А</t>
  </si>
  <si>
    <t xml:space="preserve">Комплекс электромонтажных Работ по проекту «Техническое перевооружение отбелки (КЩО), Строительство новой кислородной станции» по адресу: филиал АО «Группа «Илим» в г. Усть-Илимске </t>
  </si>
  <si>
    <t>Комплекс электромонтажных, строительных и пусконаладочных работ по проекту "Техническое перевооружение содорегенерационного котла СРК-1400 ст. № 3" по адресу : филиал АО "Группа "Илим" в г. Усть-Илимске</t>
  </si>
  <si>
    <t>Реализация проекта "Техническое перевооружение содорегенерационного котла СРК-1400 ст. № 3" по адресу : филиал АО "Группа "Илим" в г. Усть-Илимске</t>
  </si>
  <si>
    <t xml:space="preserve">Реализация проекта "Техническое перевооружение отбелки (КЩО), Строительство новой кислородной станции" по адресу: филиал АО "Группа "Илим" в г. Усть-Илимске </t>
  </si>
  <si>
    <t xml:space="preserve">SP0336 от 24.05.2018 </t>
  </si>
  <si>
    <t xml:space="preserve">SP0467 от 24.09.2018 </t>
  </si>
  <si>
    <t>07.2019</t>
  </si>
  <si>
    <t>04.2019</t>
  </si>
  <si>
    <t>Филиал  ОАО "Группа «Илим" в
 г. Братске</t>
  </si>
  <si>
    <t>Филиал  ОАО "Группа «Илим" в
г. Усть-Илимск, Иркутская обл.
СРК-1</t>
  </si>
  <si>
    <t>61А</t>
  </si>
  <si>
    <t>4479-2015/ЭД от 22.06.2015</t>
  </si>
  <si>
    <t xml:space="preserve">SP0211/СУБ-1 от 13.02.2018  </t>
  </si>
  <si>
    <t>Электромонтажные и пусконаладочные работы согласно проекта "Техническое перевооружение производства диоксида хлора для обеспечения отбеливающими химикатами отбельных цехов" в филиале АО "Группа "Илим" в г. Братске</t>
  </si>
  <si>
    <t>Филиал  ОАО "Группа «Илим" в
 г. Братске
Реализация проекта  "Техническое перевооружение производства диоксида хлора для обеспечения отбеливающими химикатами отбельных цехов"</t>
  </si>
  <si>
    <t>ОАО "Группа «Илим"
191025, г. Санкт-Петербург, ул. Марата,17,
Филиал  ОАО "Группа «Илим" в г. Братске, 665718, РФ, Иркутская обл., г. Братск
Тел: (3953) 340106, 
Генподрядчик- ООО "Сибавтоматика"
РФ, 665718, Иркутская область, г.Братск, Центральный район, Промышленная зона БРАЗа, промплощадка               
Генеральный директор Жданов С.В.</t>
  </si>
  <si>
    <t>59.79</t>
  </si>
  <si>
    <t>59.80</t>
  </si>
  <si>
    <t xml:space="preserve"> Работы по прогрузке автоматических выключателей</t>
  </si>
  <si>
    <t>010-1446-18 от 27.08.2018</t>
  </si>
  <si>
    <t>010-092-19 от 23.01.2019</t>
  </si>
  <si>
    <t xml:space="preserve"> КТЦ и ВЦ  ПРиЭ</t>
  </si>
  <si>
    <t xml:space="preserve">Электромонтажные работы по переносу расходных баков крепкого белого щелока,  для реализации инвестиционного проекта "Строительство нового бакового хозяйства УКРИ"  ПХиЛ ПРиЭ. </t>
  </si>
  <si>
    <t>01.2019</t>
  </si>
  <si>
    <r>
      <rPr>
        <sz val="9"/>
        <color rgb="FFC00000"/>
        <rFont val="Times New Roman"/>
        <family val="1"/>
        <charset val="204"/>
      </rPr>
      <t>10.2019</t>
    </r>
    <r>
      <rPr>
        <sz val="9"/>
        <color rgb="FF000000"/>
        <rFont val="Times New Roman"/>
        <family val="1"/>
        <charset val="204"/>
      </rPr>
      <t xml:space="preserve">
(78% на 05.2019)
(выполнено 72049 тыс.руб)</t>
    </r>
  </si>
  <si>
    <t>6900-15-ПЭГ от 02.11.2015</t>
  </si>
  <si>
    <t>7243-16-ПЭГ от 05.02.16</t>
  </si>
  <si>
    <t>7301-16-ПЭГ от 11.03.16</t>
  </si>
  <si>
    <t>Работы по дегазации трансформаторного масла на блочном трансформаторе Т7 типа ТЦ-400000-220-УХЛ1 (зав. №159935)</t>
  </si>
  <si>
    <t>Поставка, монтаж и ПНР по оснащению устройствами контроля изоляции (КИВ-500) высоковольтных вводов на блочных трансформаторах (Т1-Т6)</t>
  </si>
  <si>
    <t xml:space="preserve">Блочный трансформатор Т7 типа ТЦ-400000-220-УХЛ1 Богучанской ГЭС. </t>
  </si>
  <si>
    <t>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Волков И.А.</t>
  </si>
  <si>
    <t>ОАО «Богучанская ГЭС» в лице 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Волков И.А.</t>
  </si>
  <si>
    <t>BGC 402  от 20.05.16</t>
  </si>
  <si>
    <t>ЭМР и ПНР по интеграции распределительных подстанций РП-1, РП-2 в АСУТП БоГЭС</t>
  </si>
  <si>
    <t>Комплекс работ по монтажу и вводу в промышленную эксплуатацию системы электроснабжения и управления струегенераторами рыбозащитного комплекса Богучанской ГЭС.</t>
  </si>
  <si>
    <t xml:space="preserve">BGC393 от 26.04.2016 </t>
  </si>
  <si>
    <t>Система управления и сигнализации распределительных подстанций РП-1, РП-2 в АСУТП Богучанской ГЭС</t>
  </si>
  <si>
    <t>Систем электроснабжения и управления струегенераторами рыбозащитного комплекса Богучанской ГЭС.</t>
  </si>
  <si>
    <t xml:space="preserve">BGC410 от 29.06.2016 </t>
  </si>
  <si>
    <t>Выполнение поставки, строительно- монтажных и пуско-наладочных работ по электроснабжению каркасных зданий, административно-бытового корпуса (АБК-1) и  первоочередного оборудования производственного корпуса хозяйственного двора Богучанской ГЭС.</t>
  </si>
  <si>
    <t xml:space="preserve"> Строительно- монтажные и пуско-наладочные работы по электроснабжению каркасных зданий, административно-бытового корпуса (АБК-1) и  первоочередного оборудования производственного корпуса хозяйственного двора БоГЭС.</t>
  </si>
  <si>
    <t>BGC445 от 24.08.017</t>
  </si>
  <si>
    <t>Выполнение строительно-монтажных работ по демонтажу литого токопровода СН 6 кВ Betobar-r PH12.</t>
  </si>
  <si>
    <t>ПАО «Богучанская ГЭС» в лице 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Чернявский С.Ю.</t>
  </si>
  <si>
    <t xml:space="preserve">Блочные трансформаторы (Tl, Т2, ТЗ, Т4, Т5, Тб) и автотрансформаторы (lAT, 2АТ) Богучанской ГЭС. 
</t>
  </si>
  <si>
    <t>8080-ПЭГ от 17.01.2017</t>
  </si>
  <si>
    <t>Поставка, монтаж и ПНР устройства точной ручной синхронизации на пульт-столе ЦПУ выключателей присоединений КРУЭ 220 кВ и КРУЭ 500 кВ БоГЭС</t>
  </si>
  <si>
    <t xml:space="preserve"> Пульт-стол ЦПУ Богучанской ГЭС. </t>
  </si>
  <si>
    <t xml:space="preserve">8567-17-ПЭГ от 10.07.2017 </t>
  </si>
  <si>
    <t>Выполнение проектных работ по теме: "Разработка проекта оснащения высоковольтных вводов блочных трансформаторов (Т7, Т8, Т9) и автотрансформаторов (1АТ, 2АТ) Богучанской ГЭС устройствами контроля изоляции вводов 220 кВ (КИВ-220)".</t>
  </si>
  <si>
    <t>Разработка проекта оснащения высоковольтных вводов блочных трансформаторов (Т7, Т8, Т9) и автотрансформаторов (1АТ, 2АТ) Богучанской ГЭС устройствами контроля изоляции вводов 220 кВ (КИВ-220)</t>
  </si>
  <si>
    <t>558С001С480 от 07.05.15</t>
  </si>
  <si>
    <t>508С001С622 от 16.08.2016</t>
  </si>
  <si>
    <t xml:space="preserve">Трансбордерной система, ПНР Лифтинговые устройства Корпуса электролиза №1, Лифтинговые устройства Корпуса электролиза №2. 
</t>
  </si>
  <si>
    <t xml:space="preserve">Пусконаладочные работы Трансбордерной системы, Лифтинговых устройств Корпуса электролиза №1,  Лифтинговых устройств Корпуса электролиза №2. 
</t>
  </si>
  <si>
    <t>Монтаж комплектной трансформаторной подстанции КТП 2-5, КТП 4-3, КТП 9-1 (9-2), КТП 9-5, КТП 9-8, устройство межцеховых кабельных сетей "ЮГ" и "СЕВЕР".</t>
  </si>
  <si>
    <t>Склад смонтированных  анодов и огарков в осях 1…28.</t>
  </si>
  <si>
    <t xml:space="preserve">508С001С691 от 05.06.2017
</t>
  </si>
  <si>
    <t xml:space="preserve">508С001С697 от 28.06.2017 </t>
  </si>
  <si>
    <t>КТП 2-5 (Гараж и ЦРТТ); «КТП 4-3 (Цех ремонта грузоподъемных кранов); КТП 9-1 (9-2) (корпуса электролиза №№ 1, 2) (ГОУ-2; КТП 9-5 (ЦРГ восток); КТП 9-8 (Приемное устройство); Межцеховые кабельные сети "ЮГ"; Межцеховые кабельные сети "СЕВЕР".</t>
  </si>
  <si>
    <t xml:space="preserve">508С001С733 от 20.09.2017. </t>
  </si>
  <si>
    <t>2019 
(на 01.05.2019-88%) 70642 тыс.руб</t>
  </si>
  <si>
    <t xml:space="preserve">"Электролизное производство. Трансбордерный соединительный коридор"; "Электролизное производство. Циркуляционный коридор"; "Ремонтное производство. ЦКРЭ. Участок выбоя и зачистки катодного устройства"; "Цех ремонта грузоподъемных кранов. Ремонтная зона № 1 и № 2". </t>
  </si>
  <si>
    <t>Электромонтажные работы и ПНР</t>
  </si>
  <si>
    <t>Электромонтажные работы ТСК, ЦКС, ЦРГК 1 и 2, участка выбоя и зачистки катодного устройства с ПНР</t>
  </si>
  <si>
    <t>2019 
(на 01.05.2019-42%) 6472 тыс.руб</t>
  </si>
  <si>
    <t>446С001С126 от 31.10.2008</t>
  </si>
  <si>
    <t xml:space="preserve">Публичное акционерное общество "РУСАЛ Братский Алюминиевый Завод" 
(ПАО "РУСАЛ Братск")
665716, Иркутская область, г.Братск-16
</t>
  </si>
  <si>
    <t>9110С695 от 19.07.2017</t>
  </si>
  <si>
    <t>Строительно-монтажные работы по прокладке кабельных сетей, электроосвещению, монтажу системы отопления и вентиляции, монтажу силового электрооборудования и пусконаладочные работы на СГОУ № 61, в рамках ИМ 01.70.12.003 "Строительство сухих ГОУ" на ПАО "РУСАЛ Братск"</t>
  </si>
  <si>
    <t>Работы по восстановлению технических свойств подвесной изоляции 220 кВ группы 4Т ПАО «РУСАЛ Братск».</t>
  </si>
  <si>
    <t>Строительно-монтажные работы по прокладке кабельных сетей, электроосвещению, монтажу системы отопления и вентиляции, монтажу силового электрооборудования и пусконаладочные работы на СГОУ № 61</t>
  </si>
  <si>
    <t xml:space="preserve">3610Т488 от 24.08.2017 </t>
  </si>
  <si>
    <t>Общество с ограниченной ответственностью «Русская инжиниринговая компания» (ООО «РУС-Инжиниринг») 
Филиал ООО «РУС-Инжиниринг» в г. Братске
665716, РФ, Иркутская область, г. Братск - 16</t>
  </si>
  <si>
    <t>Замена изоляторов 220 кВ группы 4Т ГПП-2</t>
  </si>
  <si>
    <t>Шелеховский (Иркутский) Алюминиевый Завод
г. Шелехов, Иркутская обл.</t>
  </si>
  <si>
    <t>КПП-4 ОАО «РУСАЛ Братск» филиал в г.Шелехов</t>
  </si>
  <si>
    <t>Открытое акционерное общество «РУСАЛ Братский алюминиевый завод»
Филиал Открытого акционерного общества «РУСАЛ Братский алюминиевый завод» в г. Шелехов
666033, РФ, Иркутская область, г. Шелехов, ул. Индустриальная, 4</t>
  </si>
  <si>
    <t xml:space="preserve">4310С026 от 20.07.2016 
</t>
  </si>
  <si>
    <t xml:space="preserve">4310С027 от 09.12.2016 
</t>
  </si>
  <si>
    <t xml:space="preserve">Комплекс работ по
• общестроительным работам в здании КРУЭ 220кВ,
• работам по монтажу оборудования ячейки КРУЭ тип ELK-14,
• работам по монтажу концевых муфт 220кВ в ячейке КРУЭ, кабелей 220кВ на кабельной эстакаде,
• электромонтажным работам,
• пуско-наладочным работам </t>
  </si>
  <si>
    <t>ООО "РУС-инжиниринг"
Филиал в г. Шелехов
666033, РФ, Иркутская область, г. Шелехов, ул. Индустриальная, 4
Руководитель филиала Мазуренко В.В.</t>
  </si>
  <si>
    <t>Общестроительные, монтажные и пусконаладочные работы при монтаже ячейки ELK-14 в КРУЭ 220кВ для выпрямительного агрегата КВА-56 на КПП-4 ОАО «РУСАЛ Братск» филиал в г.Шелехов»</t>
  </si>
  <si>
    <t xml:space="preserve">Работы по монтажу оборудования выпрямительного агрегата АПД-ДН82500 КВА-56 на ОАО «РУСАЛ Братск» в г.Шелехов </t>
  </si>
  <si>
    <t xml:space="preserve">Работы по монтажу оборудования выпрямительного агрегата АПД-ДН82500 КВА-56 </t>
  </si>
  <si>
    <t xml:space="preserve">4310С038 от 01.08.2017 </t>
  </si>
  <si>
    <t>Комплекс работ по реконструкции ячеек ОРУ 110 кВ с РЗА, необходимых для строительства объекта «ВЛ-110 кВ ИТЭЦ-10 блок 4-ГПП-1 (ШП-13) и ВЛ-110 кВ ИТЭЦ-10-Иркутская (ШП-14) от ГПП-1 до ГПП-2; ВЛ-110 кВ ИТЭЦ-10 блок-3 ГПП-1 (ШП-15) и ВЛ-110 кВ ИТЭЦ-9-Иркутская с отпайками (ШП-16)»</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</si>
  <si>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665821. тел. 8(3955)502740
Генподрядчик  ООО «ЕвроСибЭнерго-инжиниринг»
 664050,г. Иркутск, ул. Байкальская, д. 259
тел.: (3952) 794-683, факс: (3952) 794-546
Генеральный директор Колокольцев А.А.</t>
  </si>
  <si>
    <t>Строительно-монтажные, пусконаладочные работы по объекту: 
"ПС-500/220/110/35/10/6 "Иркутская" Реконструкция устройств РЗА при замене МВ-220  МСВ-2/4 и МСВ-3/5 на элегазовые"</t>
  </si>
  <si>
    <t xml:space="preserve">Строительно-монтажные, пусконаладочные работы по объекту: 
«ПС-500/220/110/35/10/6 "Иркутская". Замена МВ-220 ВЛ-210 (замена масляного выключателя МВ-220  ВЛ-210 на баковый элегазовый выключатель на ПС «Иркутская» (инв.№700Б1493\1)» </t>
  </si>
  <si>
    <t xml:space="preserve">Строительно-монтажные, пусконаладочные работы по объекту: 
"ПС-500/220/110/35/10/6 "Иркутская" Реконструкция устройств РЗА при замене МВ-220  МСВ-1/3 и МСВ-4/6 на элегазовые" </t>
  </si>
  <si>
    <t>43/15 от 01.06.20115</t>
  </si>
  <si>
    <t xml:space="preserve">ПС500/220 кВ "Шелеховская" (Ключи)
 г.Шелехов, Иркутская обл. Реконструкция ПС   </t>
  </si>
  <si>
    <t xml:space="preserve">ПС 220/10 кВ "Шелехово"
г.Шелехов, Иркутская обл. Реконструкция ПС   </t>
  </si>
  <si>
    <t xml:space="preserve">СМР, ПНР;
Поставка и комплектация Объекта материалами, оборудованием и запасными частями к нему в соттветствии с тех. документацией. </t>
  </si>
  <si>
    <t xml:space="preserve">Комплекс работ для реконструкции объекта "ПС 220/110 кВ Шелехово (реконструкция)" в составе: "Замена выключателей 220, 110 кВ". 
</t>
  </si>
  <si>
    <t xml:space="preserve">16/16 от 14.04.16 </t>
  </si>
  <si>
    <t xml:space="preserve">УПК-500 Тыреть 
п. Тыреть, Иркутская область </t>
  </si>
  <si>
    <t xml:space="preserve">Реконструкция устройств РЗА ВЛ 500кВ № 565 на УПК-500 Тыреть с заменой выключателей на ОРУ 500 кВ УПК-500 "Тыреть" в составе объектов основных средств: 
- УПК-500 Тыреть
- ПС Иркутская </t>
  </si>
  <si>
    <t xml:space="preserve">
Строительно-монтажные, пусконаладочные работы, поставка и комплектация материалами и оборудованием объекта по титулу: «Реконструкция устройств РЗА ВЛ 500 кВ №565 на УПК-500 Тыреть с заменой выключателей на ОРУ 500 кВ УПК-500 Тыреть» в составе объектов основных средств: 
- УПК-500 Тыреть
- ПС Иркутская </t>
  </si>
  <si>
    <t xml:space="preserve">49/16 от 28.07.2016 </t>
  </si>
  <si>
    <t>07.23016</t>
  </si>
  <si>
    <t xml:space="preserve">14-204.031/2017-СМР от 02.10.2017 </t>
  </si>
  <si>
    <t>12.2019 
(выполнено на 05.2019 91%
39 336 тыс.руб)</t>
  </si>
  <si>
    <t xml:space="preserve">строительно-монтажные работы  в составе объектов основных средств:
- УПК-500 ПС "Тыреть" (инв.№ 700В140591);
- кабельные каналы УПК-500 кВ "Тыреть" (инв.№ 700В140608);
- ОРУ-500 кВ УПК-500 кВ "Тыреть"(воздушные выключатели типа ВВМ- 500кВ 4шт.) (инв.№ 700В140593);- ОРУ-500 кВ УПК-500 кВ "Тыреть"(воздушные выключатели типа ВВМ- 500кВ 5шт.) (инв.№ 700В140592);- Панели защиты и п/а автоматики (инв.№ 700В141773);- Панель щита 0,4кВ УПК-500 (инв.№ 700В140605);- щит управления П\СТ ТЫРЕТЬ (инв.№ 700В140577);
- трансформаторы тока ТФЗМ -500КВ 24ШТ драгметалл (инв.№ 700В141772);
- ячейки ЛЭП-500 УПК-500 "Тыреть" (инв.№ 700В140594);- здание главного щита управления УПК-500 кВ "Тыреть" (инв.№ 700В110128);- здание релейных панелей УПК-500 кВ "Тыреть" (инв.№ 700В140864);- панели постоянного тока ПС УПК-500 "Тыреть" (инв.№ 700В140604);- релейная защита шин (инв.№ 7000004406);
- РДЗ-2-500 УПК Тыреть (инв.№ 700А040758);- трансформаторы напряжения ДС-500 УПК-500 кВ "Тыреть" (инв.№ 700В140595);- трансформатор тока ТФЗМ-500 (инв.№ 700В141774)  </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</si>
  <si>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665821. тел. 8(3955)502740
Генподрядчик ООО "Инженерный центр "Иркутскэнерго",
г. Иркутск, б-р Рябикова 67, 
Тел. (3952) 790-711, Факс (3952) 790-742 
Директор Моисеев Т.В.</t>
  </si>
  <si>
    <t xml:space="preserve">Реконструкция устройств РЗА ВЛ 500кВ Ново-Зиминская – УПК Тыреть ВЛ 568 с заменой оборудования 500кВ ячейки ВЛ 568 на УПК Тыреть» для нужд филиала ОАО «ИЭСК» «Центральные электрические сети»
</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</si>
  <si>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 Энергетиков 6. 
Генподрядчик ООО "Инженерный центр "Иркутскэнерго",
г. Иркутск, б-р Рябикова 67, 
Тел. (3952) 790-711, Факс (3952) 790-742 
Директор Моисеев Т.В.</t>
  </si>
  <si>
    <t xml:space="preserve">81/ЗЭС-2017-СМР от 02.10.2017 </t>
  </si>
  <si>
    <t>Строительно-монтажные работы по объекту: «Реконструкция устройств РЗА для реализации ОАПВ на участке ВЛ 500 кВ ПС Ново-Зиминская-УПК 500 Тыреть № 568 (инв.№800013031)»</t>
  </si>
  <si>
    <t>СМР</t>
  </si>
  <si>
    <t xml:space="preserve">Реконструкция ВЛ 220 кВ 1 цепь Седановский переключательный пункт - Богучанская ГЭС с переводом ее на напряжение 35 кВ; 
ПС 220/35 Джижива и СПП 220/6
</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</si>
  <si>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
Генподрядчик  ООО «ЕвроСибЭнерго-инжиниринг»
 664050,г. Иркутск, ул. Байкальская, д. 259
тел.: (3952) 794-683, факс: (3952) 794-546
Генеральный директор Колокольцев А.А.</t>
  </si>
  <si>
    <t xml:space="preserve"> - строительно-монтажные, пусконаладочные работы;
 - поставка и комплектация Объекта материалами в соответствии с техническими решениями
</t>
  </si>
  <si>
    <t xml:space="preserve"> 60/16 от 03.10.2016 </t>
  </si>
  <si>
    <t>Комплекс работ по объекту: "Реконструкция ВЛ 220 кВ 1 цепь Седановский переключательный пункт Богучанская ГЭС с переводом ее на напряжение 35 кВ; ПС 220/35 Джижива и СПП" 
- строительно-монтажные, пусконаладочные работы;
- поставка и комплектация Объекта материалами в соответствии с техническими решениями</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</si>
  <si>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
Генподрядчик  ООО «ЕвроСибЭнерго-инжиниринг»
 664050,г. Иркутск, ул. Байкальская, д. 259
тел.: (3952) 794-683, факс: (3952) 794-546
Генеральный директор Юшманов В.П.</t>
  </si>
  <si>
    <t xml:space="preserve">Выполнение комплекса работ по объекту: «Расширение ОРУ-220кВ БПП-500 с установкой двух дополнительных ячеек 220кВ" в объеме проектной и рабочей документации шифр 2368 «Реконструкция ОРУ 220 кВ Братского ПП 500 кВ» E200
</t>
  </si>
  <si>
    <t xml:space="preserve">75/16 от 10.11.2016 </t>
  </si>
  <si>
    <t xml:space="preserve">Комплекс общестроительных, электромонтажных и пусконаладочных работ по объекту: "Технологическое присоединение к электрическим сетям ОАО "ИЭСК" дополнительных энергопринимающих устройств ООО "Транснефть-Восток (НПС-1)" на ПС 500 кВ Озерная", устройство ячейки 35 кВ </t>
  </si>
  <si>
    <t xml:space="preserve">09.2018
на 01.05.2019
47%
</t>
  </si>
  <si>
    <t xml:space="preserve"> 73/16 от 03.11.2016 </t>
  </si>
  <si>
    <t>31.03.2017</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</si>
  <si>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665821. тел. 8(3955)502740
Генподрядчик  ООО «ЕвроСибЭнерго-инжиниринг»
 664050,г. Иркутск, ул. Байкальская, д. 259
тел.: (3952) 794-683, факс: (3952) 794-546
Генеральный директор Юшманов В.П.</t>
  </si>
  <si>
    <t xml:space="preserve">74/16 от 03.11.2016 </t>
  </si>
  <si>
    <t>Комплекс работ по объекту: "ПС-50/220/110/35/10/6 "Иркутская" Замена МВ-220 № 1 АТ-10, МВ-220 кВ № 2 АТ на элегазовые" на баковый элегазовый выключатель на ПС "Иркутская</t>
  </si>
  <si>
    <t xml:space="preserve">ПС 35/10 кВ Введенщина </t>
  </si>
  <si>
    <t xml:space="preserve">30/17 от 26.07.2017 </t>
  </si>
  <si>
    <t xml:space="preserve">Разработка рабочей документации, сопровождение государственной экологической экспертизы проектной документации, проведение негосударственной экспертизы проектной документации и результатов инженерных изысканий объекта «ПС 35/10 кВ Введенщина» </t>
  </si>
  <si>
    <t>ПС 500/110/35кВ Тайшет.
ПС 500/220/35кВ Озерная.
Иркутская обл.</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</si>
  <si>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
Генподрядчик  ООО «ЕвроСибЭнерго-инжиниринг»
 664050,г. Иркутск, ул. Байкальская, д. 259
тел.: (3952) 794-683, факс: (3952) 794-546
Генеральный директор Борисычев А.В.</t>
  </si>
  <si>
    <t xml:space="preserve">08/18 от 16.03.2018 </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</si>
  <si>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ЮЭС Прошутинский А.Л.
Генподрядчик  ООО «ЕвроСибЭнерго-инжиниринг»
 664050,г. Иркутск, ул. Байкальская, д. 259
тел.: (3952) 794-683, факс: (3952) 794-546
Генеральный директор Борисычев А.В.</t>
  </si>
  <si>
    <t>ПС 220 кВ Малая Елань 
Иркутская обл.</t>
  </si>
  <si>
    <t xml:space="preserve"> 291Д-150П-3013 от 21.06.2018 </t>
  </si>
  <si>
    <t xml:space="preserve">Выполнение корректировки рабочей документации по объекту: «ПС 220 кВ Малая Елань с ВЛ 220 кВ» </t>
  </si>
  <si>
    <t>28/15-1ИЦ/15 от 15.10.2015</t>
  </si>
  <si>
    <t xml:space="preserve">ПС 35/10 кВ Мегет 
п. Мегет, Ангарский район, Иркутская область 
</t>
  </si>
  <si>
    <t xml:space="preserve">«Строительство ПС 35/10кВ Мегет для электроснабжения п. Мегет Ангарского городского округа, Иркутской области»  </t>
  </si>
  <si>
    <t>АО «Братская электросетевая компания»
РФ, 65710,Иркутская область,  г. Братск, ул.Дружбы,45 
Генеральный директор Кабаев С.И.</t>
  </si>
  <si>
    <t>СМР. ПНР, такелаж трансформаторов, поставка оборудования</t>
  </si>
  <si>
    <t xml:space="preserve">ОК-33/16 от 30.05.2016 </t>
  </si>
  <si>
    <t xml:space="preserve">Выполнение авторского надзора за строительством по объекту: «Строительство КЛ 35кВ, ПС 35/10кВ Мегет» </t>
  </si>
  <si>
    <t xml:space="preserve"> 291Д-150П-4010 от 25.05.2017 </t>
  </si>
  <si>
    <t xml:space="preserve">Выполнение работ по корректировке рабочей документации объекта: «Строительство КЛ 35 кВ, ПС 35/10 кВ Мегет»  </t>
  </si>
  <si>
    <t>445Д-150П-3013 от 15.07.2017</t>
  </si>
  <si>
    <t>ЕП-276/17 от 15.09.2017</t>
  </si>
  <si>
    <t>Электросетевые объекты ЗАО «Братская электросетевая компания»</t>
  </si>
  <si>
    <t>ЗАО «Братская электросетевая компания»
РФ, 65710,Иркутская область,  г. Братск, ул.Дружбы,45 
Генеральный директор Кабаев С.И.</t>
  </si>
  <si>
    <t xml:space="preserve">Строительно-монтажные работы по реконструкции и строительству электросетевых объектов ЗАО «Братская электросетевая компания» (город Братск и Братский район) </t>
  </si>
  <si>
    <t>Строительно-монтажные работы по реконструкции и строительству электросетевых объектов ЗАО «Братская электросетевая компания» (город Вихоревка)</t>
  </si>
  <si>
    <t>Строительно-монтажные работы по реконструкции и строительству электросетевых объектов ЗАО «Братская электросетевая компания» (Иркутск и Иркутский р-н)</t>
  </si>
  <si>
    <t xml:space="preserve">Строительно-монтажные работы по реконструкции и строительству электросетевых объектов ЗАО «Братская электросетевая компания»(Нижнеилимский и Усть-Илимский  районы) </t>
  </si>
  <si>
    <t xml:space="preserve">Строительно-монтажные работы по реконструкции и строительству электросетевых объектов ЗАО «Братская электросетевая компания» (Чунский район) </t>
  </si>
  <si>
    <t>154/16 от 29.07.2016</t>
  </si>
  <si>
    <t xml:space="preserve">Строительно-монтажные работы по реконструкции и строительству электросетевых объектов АО «Братская электросетевая компания» (город Братск и Братский район) </t>
  </si>
  <si>
    <t xml:space="preserve">ЗП-37/17 от 16.05.2017 </t>
  </si>
  <si>
    <t>155/16 от 29.07.2016</t>
  </si>
  <si>
    <t>156/16 от 29.07.2016</t>
  </si>
  <si>
    <t>157/16 от 29.07.2016</t>
  </si>
  <si>
    <t>158/16 от 29.07.2016</t>
  </si>
  <si>
    <t>Реконструкция ТП, электрических сетей со строительством ВЛ</t>
  </si>
  <si>
    <t>Реконструкция ТП, электрических сетей со строительством ВЛ, КЛ</t>
  </si>
  <si>
    <t>Строительно-монтажные работы по реконструкции и строительству электросетевых объектов АО «Братская электросетевая компания» (город Братск, п.Бикей)</t>
  </si>
  <si>
    <t>ЕП-357/18 от 26.07.2018</t>
  </si>
  <si>
    <t xml:space="preserve">Строительство участка ЛЭП-10кВ </t>
  </si>
  <si>
    <t>09.2019</t>
  </si>
  <si>
    <t>Строительство участка ЛЭП</t>
  </si>
  <si>
    <t>ЕП-358/18 от 26.07.2018</t>
  </si>
  <si>
    <t>Работы по подготовке проектной и рабочей документации объекта строительства: выполнение прокола через электрифицированную железную дорогу для строительства участка кабельных линий напряжением 10 кВ ЛЭП №1, ЛЭП №2 от ПС 110/35/10 кВ «Городская» до РП №7</t>
  </si>
  <si>
    <t>Проектные работы и инженерные изыскания для выполнения прокола через электрифицированную железную дорогу для строительства участка кабельной линий напряжением 10 кВ фидер №12.</t>
  </si>
  <si>
    <t xml:space="preserve">ЗП-50/17 от 13.07.2017 </t>
  </si>
  <si>
    <t>Проектные работы и инженерные изыскания для выполнения прокола через электрифицированную железную дорогу для строительства участка кабельной линий напряжением 10 кВ фидер «Станция»</t>
  </si>
  <si>
    <t>220Д-150П-3013 
от 10.03.2018</t>
  </si>
  <si>
    <t>607Д-150П-3013 от 26.09.2017</t>
  </si>
  <si>
    <t>609Д-150П-3013 от 26.09.2017</t>
  </si>
  <si>
    <t xml:space="preserve">ЕП-334/18 от 26.06.2018 </t>
  </si>
  <si>
    <t xml:space="preserve">Корректировка проектной документации объекта строительства: «Строительство ПС 35/10кВ Мегет» в п.Мегет Ангарского городского округа Иркутской области </t>
  </si>
  <si>
    <t>14-ARE/GEM 065 от 01.10.14</t>
  </si>
  <si>
    <t xml:space="preserve">003-ARE от 20.02.2016 </t>
  </si>
  <si>
    <t xml:space="preserve">005-ARE от 25.11.2016 </t>
  </si>
  <si>
    <t xml:space="preserve">Выполнение работ по ремонту преобразовательного трансформатора Богучанского алюминиевого завода КВА №15 
</t>
  </si>
  <si>
    <t xml:space="preserve">Выполнение работ по ремонту преобразовательного трансформатора Богучанского алюминиевого завода КВА №114 
</t>
  </si>
  <si>
    <t>10712321-4380-2017-01 от 20.03.2017</t>
  </si>
  <si>
    <t>14 от 01.06.2016</t>
  </si>
  <si>
    <t>Работы по ремонту трансформаторов КПП ТаАЗ
 -. Выпрямительные трансформаторы 
 - Регулировочные трансформаторы</t>
  </si>
  <si>
    <t>Электростанция 72 МВт в районе УПН Ярактинского НГКМ</t>
  </si>
  <si>
    <t>Общество с ограниченной ответственностью «Иркутская нефтяная компания» (ООО «ИНК»), 664000, г.Иркутск, пр. Большой Литейный, 4
ООО «Инженерный центр «Энергосервис» 111024 г.Москва, ул. Авиамоторная, д.44, строение 1, помещение 1А, комната 1  Генеральный  директор Флейшман И. Л.</t>
  </si>
  <si>
    <t xml:space="preserve">4917-2016/ЭД от 30.04.2016 </t>
  </si>
  <si>
    <t>Монтаж трансформаторов силовой связи 35/6/6 кВ, 32 МВА; Монтаж токопровода 35 кВ от здания ЗРУ 35 кВ до силового трансформатора связи 35/6/6 кВ 32 МВА; Монтаж токопровода 6 кВ от здания машинного зала №1 до здания ЗРУ 6кВ; Монтаж токопровода 6 кВ от здания машинного зала №2 до здания ЗРУ 6кВ; Монтаж жесткого токопровода с алюминиевыми коробчатыми шинами</t>
  </si>
  <si>
    <t>Комплекс строительно-монтажных работ на объекте строительства «Электростанция 72 МВт в районе УПН Ярактинского НГКМ»</t>
  </si>
  <si>
    <t>ОАО «Иркутскэнерго»
664025, г. Иркутск, ул. Сухэ-Батора,3
Генеральный директор  Федоров Е.В. 
Филиал ОАО "Иркутскэнерго" Братская ГЭС
665709, г. Братск, а/я783
факс (3953)323 367, тел. 323 359
Директор филиала Вотенев  А.А.
Подрядчик ООО "Инженерный центр "Иркутскэнерго",
г. Иркутск, б-р Рябикова 67, 
Тел. (3952) 790-711, Факс (3952) 790-742 
Директор Моисеев Т.В.</t>
  </si>
  <si>
    <t xml:space="preserve">083/02/15-ИЦ/16 от 03.02.2016 </t>
  </si>
  <si>
    <t xml:space="preserve">Комплекс работ по объекту филиала ПАО «Иркутскэнерго» Братская ГЭС: «Модернизация маслоподпитывающих установок кабельных линий МВДТ-220 Братской ГЭС Этап № 1» 
</t>
  </si>
  <si>
    <t>СМР, ПНР</t>
  </si>
  <si>
    <t xml:space="preserve">Маслоподпитывающие установки кабельных линий МВДТ-220 </t>
  </si>
  <si>
    <t xml:space="preserve">013/02/16-СМР от 19.09.2016 </t>
  </si>
  <si>
    <t>СМР по объекту "Внедрение цифрового регистратора аварийных процессов блоков 220кВ 500кВ Братской ГЭС"</t>
  </si>
  <si>
    <t xml:space="preserve">Внедрение цифрового регистратора аварийных процессов блоков 220 кВ и 500 кВ </t>
  </si>
  <si>
    <t>Строительно-монтажные работы по Объекту филиала ПАО «Иркутскэнерго» Братская ГЭС «Комплексное техническое перевооружение гидроагрегата №9: Модернизация защит и сигнализации»</t>
  </si>
  <si>
    <t>«Комплексное техническое перевооружение гидроагрегата №9: Модернизация защит и сигнализации»</t>
  </si>
  <si>
    <t xml:space="preserve"> 021/02/16-СМР1 от 16.02.2017 </t>
  </si>
  <si>
    <t>Муниципальное автономное учреждение культуры «Театрально-концертный центр «Братск-АРТ» муниципального образования города Братска (МАУК «ТКЦ Братск-АРТ»),
г. Братск, Иркутская обл.</t>
  </si>
  <si>
    <t>МАУК «ТКЦ Братск-АРТ»
665729, Иркутская область, г. Братск,
ж/р Центральный, пр. Ленина, д.28
Директор Смолиной С.А.</t>
  </si>
  <si>
    <t>051 от 14.04.16</t>
  </si>
  <si>
    <t>067 от 10.05.16</t>
  </si>
  <si>
    <t>148/1 от 10.10.16</t>
  </si>
  <si>
    <t xml:space="preserve">Электромонтажные и пусконаладочные работы по увеличению электрической мощности сцены МАУК «ТКЦ «Братск-АРТ» </t>
  </si>
  <si>
    <t>66</t>
  </si>
  <si>
    <t>Разработке проектно-сметной документации на проведение работ по «Подключению питания электродвигателей пожарных насосов системы автоматического пожаротушения здания МАУК «ТКЦ «Братск-АРТ» от ТП-419 РУ-0,4кВ»</t>
  </si>
  <si>
    <t xml:space="preserve">Разработке проектно-сметной документации </t>
  </si>
  <si>
    <t>Электромонтажные и пусконаладочные работы по увеличению электрической мощности сцены</t>
  </si>
  <si>
    <t xml:space="preserve">207 от 01.10.2017 </t>
  </si>
  <si>
    <t xml:space="preserve">006 
от 18.01.2018 </t>
  </si>
  <si>
    <t xml:space="preserve"> 229Д-60П-3010 от 02.04.2018 </t>
  </si>
  <si>
    <t xml:space="preserve">622Д-60П-3012 от 17.09.2018 </t>
  </si>
  <si>
    <t>Электромонтажные и пусконаладочные работы электроснабжения LED-экрана МАУК "ТКЦ "Братск-АРТ"</t>
  </si>
  <si>
    <t xml:space="preserve">электромонтажные работы по подключению питания электродвигателей пожарных насосов системы автоматического пожаротушения здания МАУК «ТКЦ «Братск-АРТ» от ТП-419 РУ-0,4кВ </t>
  </si>
  <si>
    <t>Электромонтажные работы по подключению питания электродвигателей пожарных насосов системы автоматического пожаротушения здания МАУК «ТКЦ «Братск-АРТ» от ТП-419 РУ-0,4кВ по адресу: Иркутская область, г. Братск, проспект Ленина, 28</t>
  </si>
  <si>
    <t>Электромонтажные и пусконаладочные работы электроснабжения LED-экрана</t>
  </si>
  <si>
    <t xml:space="preserve">259Д-60П-3014
от 10.04.2018 </t>
  </si>
  <si>
    <t>электромонтажные работы по аварийному электроосвещению МАУК «ТКЦ «Братск-АРТ» п</t>
  </si>
  <si>
    <t>Электромонтажные работы по аварийному электроосвещению МАУК «ТКЦ «Братск-АРТ» по адресу: Иркутская область, г. Братск, проспект Ленина, 28</t>
  </si>
  <si>
    <t>Электромонтажные работы по прокладке кабеля для подключения LED-экрана в Белом зале МАУК «ТКЦ «Братск-АРТ»</t>
  </si>
  <si>
    <t xml:space="preserve">1 от 09.03.2016 </t>
  </si>
  <si>
    <t>Комплекс работ по объекту: «Техническое перевооружение РУ 10 кВ ПС 110/10 кВ «Причал» в связи с увеличением отбора мощности субабонентом ООО «ТСЛК»,</t>
  </si>
  <si>
    <t xml:space="preserve">Общество с ограниченной ответственностью «Транс-Сибирская лесная компания» (ООО «ТСЛК»)
664011, РФ, г. Иркутск, ул. Рабочая, 2А, оф.411, а/я 191
Тел./факс (3952) 78-01-26/ 78-01-25
Генеральный директор Котик П. И.
</t>
  </si>
  <si>
    <t>ПС 110/10 кВ «Причал» 
г. Усть-Кут Иркутская обл.</t>
  </si>
  <si>
    <t>Электромонтажные работы (Монтаж разъединителей 110кВ,  ТТ-110кВ,  ТТ-10кВ, ТН-110кВ,  ОПН-110кВ, ШАИИС-МТ и ШРТ-МТ). Поставка оборудования
Строительные работы. ПНР</t>
  </si>
  <si>
    <t>75 от 19.04.16</t>
  </si>
  <si>
    <t>246 от 27.10.16</t>
  </si>
  <si>
    <t>Капитальный ремонт  агрегата трансформаторного ЭОЦНК 21000/10</t>
  </si>
  <si>
    <t>Капитальный ремонт  силового  трансформатора ЭОЦНК 21000/10</t>
  </si>
  <si>
    <t>НПС-3 трубопроводной системы «Восточная Сибирь - Тихий океан»
Иркутская обл.</t>
  </si>
  <si>
    <t>ГНПС "Тайшет" трубопроводной системы «Восточная Сибирь - Тихий океан»
Иркутская обл.</t>
  </si>
  <si>
    <t xml:space="preserve">Общество с ограниченной ответственностью «Электроремонтная компания» (ООО «ЭРК»)
 620012,  РФ, Свердловская область, 
г  Екатеринбург, площадь Первой Пятилетки
Тел./факс (343) 272-74-75, 272-74-77 
Директор Скоринов А.В. 
</t>
  </si>
  <si>
    <t>7 от 06.07.2016</t>
  </si>
  <si>
    <t xml:space="preserve">Работы по такелажу и монтажу 2-х трансформаторов 220 кВ на НПС-3 по титулу «Расширение трубопроводной системы «Восточная Сибирь – Тихий океан» на участке ГНПС «Тайшет» - НПС «Сковородино» до 80 млн. тн. в год. Внешнее электроснабжение НПС-3» </t>
  </si>
  <si>
    <t>Работы по такелажу и монтажу 2-х трансформаторов 220 кВ на НПС-3</t>
  </si>
  <si>
    <t>18 от 22.09.2016</t>
  </si>
  <si>
    <t xml:space="preserve">Работы по демонтажу, такелажу 2-х трансформаторов 35 кВ, а также работы по такелажу, доставке  и монтажу 2-х трансформаторов 35 кВ на ГНПС "Тайшет" по титулу "Расширение трубопроводной системы "Восточная Сибирь – Тихий океан" на участке ГНПС "Тайшет" - НПС "Сковородино" до 80 млн. тн. в год. Внешнее электроснабжение ГНПС "Тайшет" </t>
  </si>
  <si>
    <t>НПС-7 трубопроводной системы «Восточная Сибирь - Тихий океан»
Иркутская обл.</t>
  </si>
  <si>
    <t>Работы по транспортировке и монтажу двух силовых трансформаторов типа ТДН40000/220/6 в рамках титула «Расширение трубопроводной системы «Восточная Сибирь – Тихий океан» на участке ГНПС «Тайшет» - НПС «Сковородино» до 80 млн. тн. в год. Внешнее электроснабжение НПС-7. 1 этап»</t>
  </si>
  <si>
    <t xml:space="preserve">Работы по демонтажу, такелажу 2-х трансформаторов 35 кВ, а также работы по такелажу, доставке  и монтажу 2-х трансформаторов 35 кВ на ГНПС "Тайшет" </t>
  </si>
  <si>
    <t>Работы по транспортировке и монтажу двух силовых трансформаторов типа ТДН40000/220/6</t>
  </si>
  <si>
    <t xml:space="preserve">28/04-18- НПС7 от 28.04.2018 </t>
  </si>
  <si>
    <t>3 от 25.01.2017</t>
  </si>
  <si>
    <t xml:space="preserve">Сушка трансформаторного масла силового трансформатора ТРДН 63000/110/10 инв. №30300008 зав. №1333612.  </t>
  </si>
  <si>
    <t>Сушка трансформаторного масла силового трансформатора ТРДН 63000/110/10</t>
  </si>
  <si>
    <t xml:space="preserve">Капитальный ремонт силового трансформатора ЭОЦНК-21000/10 </t>
  </si>
  <si>
    <t xml:space="preserve">32 от 17.03.2017 </t>
  </si>
  <si>
    <t xml:space="preserve">12 от 22.02.2017 </t>
  </si>
  <si>
    <t xml:space="preserve">Капитальный ремонт силового трансформатора ЭОЦНК-21000/10 (Инв. № 30100019) </t>
  </si>
  <si>
    <t>Капитальный ремонт силового трансформатора ЭОЦНК-21000/10  (инв._30100004) зав. № 1455882</t>
  </si>
  <si>
    <t xml:space="preserve">179 от 08.09.2017 </t>
  </si>
  <si>
    <t xml:space="preserve">Текущий ремонт силового трансформатора ЭОЦНК-21000/10  (Инв. № 30100003) </t>
  </si>
  <si>
    <t>11 от 22.08.16</t>
  </si>
  <si>
    <t>12 от 22.08.16</t>
  </si>
  <si>
    <t>13 от 22.08.16</t>
  </si>
  <si>
    <t>МБУК «БГОМ истории освоения Ангары»
 Работы по монтажу кабельной линии 2 этап) на архитектурных объектах АЭМ «Ангарская деревня»</t>
  </si>
  <si>
    <t xml:space="preserve">Электромонтажные работы по прокладке кабеля для подключения LED-экрана в Белом зале МАУК «ТКЦ «Братск-АРТ» по адресу: Иркутская обл., г. Братск, проспект Ленина, 28 </t>
  </si>
  <si>
    <t xml:space="preserve">МБУК «БГОМ истории освоения Ангары» 665717, Иркутская область, 
г. Братск, ул. Комсомольская, 38
</t>
  </si>
  <si>
    <t xml:space="preserve"> Работы по изготовлению и монтажу устройств грозозащиты на архитектурных объектах АЭМ «Ангарская деревня»</t>
  </si>
  <si>
    <t xml:space="preserve">Архитектурно-этнографический музей «Ангарская деревня».
Иркутская область, 
г. Братск, </t>
  </si>
  <si>
    <t>Работы по изготовлению и монтажу устройств грозозащиты</t>
  </si>
  <si>
    <t xml:space="preserve"> Работы по монтажу кабельной линии (1 этап) на архитектурных объектах АЭМ «Ангарская деревня»</t>
  </si>
  <si>
    <t xml:space="preserve">Работы по монтажу кабельной линии </t>
  </si>
  <si>
    <t xml:space="preserve">Федеральное государственное унитарное предприятие «Государственная корпорация по организации воздушного движения в Российской Федерации» (ФГУП «Госкорпорация по ОрВД»), 
филиал «Камчатаэронавигация»
 684000, г. Елизово, Камчатский край, ул. Мурманская, д.2
Директор филиала  Е.В. Новожонов
</t>
  </si>
  <si>
    <t xml:space="preserve">27 ЗЦ-2016 от 10.08.2016 </t>
  </si>
  <si>
    <t>Текущий ремонт трансформаторной подстанции объекта ОРЛ-Т (обзорный трассовый радиолокатор), Елизово</t>
  </si>
  <si>
    <t>Текущий ремонт трансформаторной подстанции (Трансформатор трехфазный: 35 кВ мощностью 250 кВ•А)</t>
  </si>
  <si>
    <t xml:space="preserve">Строительно-монтажные работы по ТП Даурия на объекте: «Комплексная реконструкция участка Карымская-Забайкальск. Электрификация участка Борзя-Забайкальск». </t>
  </si>
  <si>
    <t>Строительно-монтажные работы по ТП Даурия.
 -Общестроительные работы по зданию тяговой подстанции Даурия
 -отопление, вентиляция, кондиционирование, силовое оборудование, электроосвещение, строительно-монтажные работы открытой части, резервуар, вторичная коммутация ТП</t>
  </si>
  <si>
    <t xml:space="preserve"> 571/15 от 05.10.2016 </t>
  </si>
  <si>
    <t>Трансформаторная подстанция объекта ОРЛ-Т
Текущий ремонт
Камчатский край, г. Елизово, 34 км. трассы Петропавловск-Камчатский-Мильково.</t>
  </si>
  <si>
    <t>2019
на 01.06.2019 83% (68 937 тыс.руб)</t>
  </si>
  <si>
    <t>ОАО «Иркутская электросетевая компания»
664033, г. Иркутск, ул. Лермонтова 257,
Тел: (3952) 792-459 Факс: (3952) 792-461
ООО «АвангардЭнерго»
664043, г. Иркутск, ул. Сергеева, 3/1, оф. 325, Т/ф (3952) 48-58-56
Директор М. Д. Ратахин</t>
  </si>
  <si>
    <t xml:space="preserve">14/016 от 24.10.2016 </t>
  </si>
  <si>
    <t>Работы по монтажу соединительных и концевых муфт в рамках строительства объекта «ПС 110/10/6 кВ РКК-2 с КЛ-110 кВ»</t>
  </si>
  <si>
    <t xml:space="preserve"> - Монтаж концевых муфт марки Prysmian ELMO-1C-36-E-T3 в количестве 12 шт.;
  -Монтаж соединительных муфт марки Raychem EHVS-145TWS-W-A19T в количестве 12 шт.
</t>
  </si>
  <si>
    <t>2КТПНУ-630 базы Богучанского водохранилища</t>
  </si>
  <si>
    <t xml:space="preserve">Пусконаладочные работы по объекту «2КТПНУ-630 базы Богучанского водохранилища» 
</t>
  </si>
  <si>
    <t>ПНР КТПНУ-630-10/0,4, ячейки отдельностоящей (ЯКНО), Шкаф управления насосами</t>
  </si>
  <si>
    <t xml:space="preserve">358Д-40П-3012 от 01.09.2016 </t>
  </si>
  <si>
    <t>ООО «КраМЗ-Авто»
660111, г. Красноярск, ул. Пограничников 37А
Директор А.В. Крупицкий</t>
  </si>
  <si>
    <t xml:space="preserve">Ф.2016.361479 от 25.11.2016 </t>
  </si>
  <si>
    <t>Изготовление металлических конструкции для  здания котельной в п.Новодолоново Братского района (1-я очередь работ по реконструкции здания).</t>
  </si>
  <si>
    <t>Изготовление металлических конструкции для  здания котельной</t>
  </si>
  <si>
    <t xml:space="preserve">Администрация муниципального образования «Братский район»
Юридический адрес: 665770, Иркутская область, Братский район, г. Вихоревка, 
ул. Дзержинского, 105.
Почтовый адрес: 665717, Иркутская область,  г. Братск, ул. Комсомольская, 28А.
Тел. +7(3953) 41-21-70,  +7(3953) 41-21-75
Мэр Братского района А.С. Баловнев
</t>
  </si>
  <si>
    <t xml:space="preserve">Здание котельной школы в п.Новодолоново
Иркутская область, Братский район, п. Новодолоново
 </t>
  </si>
  <si>
    <t>Ф.2017.342219 от 17.08.2017</t>
  </si>
  <si>
    <t xml:space="preserve">Реконструкция здания котельной школы п.Новодолоново Братского района (второй этап работ). </t>
  </si>
  <si>
    <t>Демонтаж существующего здания котельной, монтаж нового</t>
  </si>
  <si>
    <t xml:space="preserve">620Д-110П-3012 от 02.10.2017 </t>
  </si>
  <si>
    <t xml:space="preserve">Замена электрооборудования в здании котельной п. Новодолоново Братского района Иркутской области </t>
  </si>
  <si>
    <t>Электромонтажные работы по замене эл.оборудавания здания котельной</t>
  </si>
  <si>
    <t>ТП Даурия
Реконструкция
Забайкальский край, Забайкальский район</t>
  </si>
  <si>
    <t xml:space="preserve">ПС 220/110/35/10 кВ Быстринская 
Забайкальский край, Газимуро-заводской район. </t>
  </si>
  <si>
    <t>266/16 от 24.10.2016</t>
  </si>
  <si>
    <t>Монтаж контрольного и силового кабеля, кабельных конструкций и низковольтных комплектных устройств по присоединениям ОРУ 110, 220 кВ, источников реактивной мощности (БСК и УШР), узлов АТ и общеподстанционных устройств</t>
  </si>
  <si>
    <t>Работы по прокладке контрольного и силового кабеля и монтажу кабельных конструкций на объекте: «ПС 220 кВ Быстринская» по присоединениям ОРУ 220, 110 кВ, источников реактивной мощности (БСК и УШР), узлов АТ и общеподстанционных устройств в объеме 111,2 км</t>
  </si>
  <si>
    <t xml:space="preserve">ОАО «ФСК ЕЭС» 
117630, г. Москва, ул. Академика Челомея, д.5А.    
Филиал ОАО «ФСК ЕЭС»- МЭС Сибири.
660099, Красноярский край, Красноярск, ул. Лебедевой, 117 Тел. (391) 265-95-00 
Генподрядчик - ООО «Проектно-строительное предприятие «Энергия» (ООО "ЭПС-Инжиниринг"
РФ,197022, г. Санкт-Петербург,
 ул. Инструментальная, д. 3, лит. К 2, тел./факс (812) 380-25-87
Генеральный директор С.А. Подзолов
</t>
  </si>
  <si>
    <t xml:space="preserve">Объекты хозяйства электрификация и электроснабжения железнодорожной инфраструктуры Восточного полигона ОАО РЖД  </t>
  </si>
  <si>
    <t>100</t>
  </si>
  <si>
    <t xml:space="preserve">ОАО «РЖД»
107174, Москва, Новая Басманная ул., д. 2
Генеральный директор – председатель правления ОАО "РЖД" О.В. Белозёров
Подрядчик ООО "Объединенная строительная компания 1520" (ОСК 1520)
105082 г.Москва, Переведеновский пер.,д.13, стр.5, тел.:8(495)679-82-36, ф.:8(495)679-82-37
Генеральный директор А.С. Антонцев
</t>
  </si>
  <si>
    <t>Э-143066/ГЭМ от 19.02.2016</t>
  </si>
  <si>
    <t xml:space="preserve">СМРи ПНР на объектах хоз электрификации и электроснабжения железнодорожной инфраструктуры Восточного полигона ОАО «РЖД» в составе инвестиционного проекта «Первоочердные мероприятия по развитию железнодорожной инфраструктуры Восточного полигона» 
</t>
  </si>
  <si>
    <t>12.2019</t>
  </si>
  <si>
    <t>100.1</t>
  </si>
  <si>
    <t>ТП 110/27,5 Кежемская
п. Кежемский, Братский район, Иркутская область</t>
  </si>
  <si>
    <t>Техническое перевооружение тяговой подстанции Кежемская с заменой тягового трансформатора с 20 МВА на 40 МВА - 2 шт. Установка УПК, замена защит 110 кВ.</t>
  </si>
  <si>
    <t>ТП 110/27,5 Видим 
п.Видим, Нижнеилимский район, Иркутская область</t>
  </si>
  <si>
    <t xml:space="preserve">Техническое перевооружение тяговой подстанции Видим. Установка УПК. </t>
  </si>
  <si>
    <t>ТП 110/27,5 Коршуниха 
г.Железногорск, Нижнеилимский район, Иркутская область</t>
  </si>
  <si>
    <t>Техническое перевооружение ТП Коршуниха с заменой тягового трансформатора с 20 МВА на 40 МВА - 2 шт.  Установка УПК.</t>
  </si>
  <si>
    <t>АТП 110/27,5 909 км 
 909 км. Восточно-Сибирской железной дороги, Иркутская область</t>
  </si>
  <si>
    <t>Техническое перевооружение АТП 909 км</t>
  </si>
  <si>
    <t>ТП 110/27,5 Чукша 
п.Чукша, Чункий район, Иркутская область</t>
  </si>
  <si>
    <t xml:space="preserve">Техническое перевооружение ОРУ 110 кВ ТП Чукша с заменой тягового трансформатора с 20 МВА на 40 МВА - 2 шт. Установка УПК. </t>
  </si>
  <si>
    <t>ТП 110/27,5 Черная 
п.Черная, Нижнеилимский район, Иркутская область</t>
  </si>
  <si>
    <t xml:space="preserve">Техническое перевооружение ТП Черная с заменой тягового трансформатора с 20 МВА на 40 МВА - 1 шт. Установка УПК. </t>
  </si>
  <si>
    <t>ТП 110/27,5 Новочунка 
п. Новочунка, Чунский район, Иркутская область</t>
  </si>
  <si>
    <t>Техническое перевооружение тяговой подстанции Новочунка. Установка УПК.</t>
  </si>
  <si>
    <t>АТП 110/27,5 Ния-Звездная 
перегон Ирдыкан-Ния Восточно-Сибирской железной дороги, Усть-Кутский район, Иркутская область</t>
  </si>
  <si>
    <t>Техническое перевооружение контактной сети на участке Ния-Звездная с установкой АТП.</t>
  </si>
  <si>
    <t>ЭМР, ПНР, строительные работы</t>
  </si>
  <si>
    <t>Техническое перевооружение ТП Невельская с заменой тягового трансформатора с 25 МВА на 40 МВА-1шт. и установка УПК</t>
  </si>
  <si>
    <t>ТП 220/110/27,5 Якурим 
 г.Усть-Кут, Иркутская область</t>
  </si>
  <si>
    <t xml:space="preserve">ТП Невельская 
Тайшетский район, Иркутская область </t>
  </si>
  <si>
    <t>Техническое перевооружение ОРУ - 220 кВ тяговой подстанции Якурим с заменой выключателей и защит 220 кВ</t>
  </si>
  <si>
    <t>Техническое перевооружение ОРУ 220 кВ тяговой подстанции Улькан с заменой трансформатора и элегазовых выключателей 220 кВ</t>
  </si>
  <si>
    <t>ТП Улькан 
 Казачинско-Ленский район, Иркутская область</t>
  </si>
  <si>
    <t>Техническое перевооружение ОРУ 220 кВ тяговой подстанции Кунерма с заменой трансформатора и элегазовых выключателей 220 кВ</t>
  </si>
  <si>
    <t>ТП Кунерма
Казачинско-Ленский район, 
Иркутская область</t>
  </si>
  <si>
    <t>Техническое перевооружение ТП Семигорск с заменой тягового трансформатора с 25 МВА на 40 МВА - 2 шт. Замена защиты 110 кВ</t>
  </si>
  <si>
    <t>ТП Семигорск
Нижнеилимском район,
 Иркутская область</t>
  </si>
  <si>
    <t>Техническое перевооружение ТП Зяба с заменой тягового трансформатора с 31,5 МВА на 40 МВА -2 шт., замена защит 110 кВ</t>
  </si>
  <si>
    <t xml:space="preserve">ТП Зяба
Братский район,
Иркутская область
 </t>
  </si>
  <si>
    <t>Техническое перевооружение ТП Усть-Кут с заменой тягового трансформатора с 25 МВА на 40 МВА - 2 шт., замена защит 110 кВ</t>
  </si>
  <si>
    <r>
      <t xml:space="preserve">12.2019
</t>
    </r>
    <r>
      <rPr>
        <sz val="8"/>
        <color rgb="FFC00000"/>
        <rFont val="Times New Roman"/>
        <family val="1"/>
        <charset val="204"/>
      </rPr>
      <t xml:space="preserve">(на 01.06.2019-71% 
52 202 тыс.руб)
</t>
    </r>
  </si>
  <si>
    <r>
      <t xml:space="preserve">12.2019
</t>
    </r>
    <r>
      <rPr>
        <sz val="8"/>
        <color rgb="FFC00000"/>
        <rFont val="Times New Roman"/>
        <family val="1"/>
        <charset val="204"/>
      </rPr>
      <t xml:space="preserve">(на 01.06.2019-87% 
56 686 тыс.руб)
</t>
    </r>
  </si>
  <si>
    <r>
      <t xml:space="preserve">12.2019
</t>
    </r>
    <r>
      <rPr>
        <sz val="8"/>
        <color rgb="FFC00000"/>
        <rFont val="Times New Roman"/>
        <family val="1"/>
        <charset val="204"/>
      </rPr>
      <t xml:space="preserve">(на 01.06.2019-91% 
60 776 тыс.руб)
</t>
    </r>
  </si>
  <si>
    <t>ТП Усть-Кут 
 г.Усть-Кут, Иркутская область</t>
  </si>
  <si>
    <r>
      <t xml:space="preserve">12.2019
</t>
    </r>
    <r>
      <rPr>
        <sz val="8"/>
        <color rgb="FFC00000"/>
        <rFont val="Times New Roman"/>
        <family val="1"/>
        <charset val="204"/>
      </rPr>
      <t xml:space="preserve">(на 01.06.2019-27% 
26 753 тыс.руб)
</t>
    </r>
  </si>
  <si>
    <r>
      <t xml:space="preserve">12.2019
</t>
    </r>
    <r>
      <rPr>
        <sz val="8"/>
        <color rgb="FFC00000"/>
        <rFont val="Times New Roman"/>
        <family val="1"/>
        <charset val="204"/>
      </rPr>
      <t xml:space="preserve">(на 01.06.2019-16% 
9 551 тыс.руб)
</t>
    </r>
  </si>
  <si>
    <r>
      <t xml:space="preserve">12.2019
</t>
    </r>
    <r>
      <rPr>
        <sz val="8"/>
        <color rgb="FFC00000"/>
        <rFont val="Times New Roman"/>
        <family val="1"/>
        <charset val="204"/>
      </rPr>
      <t xml:space="preserve">(на 01.06.2019-15% 
7 194 тыс.руб)
</t>
    </r>
  </si>
  <si>
    <r>
      <t xml:space="preserve">12.2019
</t>
    </r>
    <r>
      <rPr>
        <sz val="8"/>
        <color rgb="FFC00000"/>
        <rFont val="Times New Roman"/>
        <family val="1"/>
        <charset val="204"/>
      </rPr>
      <t xml:space="preserve">(на 01.06.2019-20% 
129 тыс.руб)
</t>
    </r>
  </si>
  <si>
    <t>Капитальный ремонт и испытание  трансформатора ТРДН-80000 110/10 Т-2 п/ст ПГВ</t>
  </si>
  <si>
    <t xml:space="preserve">Капитальный ремонт трансформатора ТРДН-80000 110/10 Т-2 п/ст ПГВ ЗАО "Кремний" в Шелехов инв. №4000477 </t>
  </si>
  <si>
    <t xml:space="preserve">ПС ПГВ ЗАО "Кремний" в г.Шелехов инв. №4000477 
</t>
  </si>
  <si>
    <t xml:space="preserve">4310Т515 от 30.03.2017 </t>
  </si>
  <si>
    <t xml:space="preserve">ПС 110/35 кВ Викторовское
Реконструкция ПС
Северо-Енисейский район, Красноярский край   </t>
  </si>
  <si>
    <t xml:space="preserve">Комплекс работ по реконструкции ПС 110/35 «Викторовское» с установкой трансформатора 110/35 кВ, S=16МВ*А и заменой трансформатора 110/35/6 кВ ТДТН-10000 кВ*А на трансформатор 110/35 кВ, S=16 МВ*А </t>
  </si>
  <si>
    <t>Электромонтажные работы, демонтажные работы,  строительно-монтажные, пусконаладочные работы; поставка и комплектация Объекта материалами и оборудованием с запасными частями к нему</t>
  </si>
  <si>
    <t xml:space="preserve">ООО "Соврудник"
Красноярский край, Северо-Енисейский район, посёлок городского типа Северо-Енисейский, Набережная улица, 1 т. (39-160) 21-1-22
Генеральный директор Гайнутдинов Рафаил Ишмуратович </t>
  </si>
  <si>
    <t xml:space="preserve">33/17 от 28.03.2017 </t>
  </si>
  <si>
    <t>Полный комплекс электромонтажных и пусконаладочных работ по ПС 110 кВ Промплощадка в составе: Объект внешнего электроснабжения Быстринского ГОКа: ПС 110/10/6 кВ «Промплощадка», ПС 35/10 кВ «Поселок», ВЛ 110 кВ и ВЛ 35 кВ» в составе объекта капитального строительства «Быстринский горно-обогатительный комбинат (ГОК)» по проекту «Объекты внешнего электроснабжения Быстринского горно-обогатительного комбината»</t>
  </si>
  <si>
    <t xml:space="preserve">Быстринский горно-обогатительный комбинат (ГОК) 
территория Быстринского ГОКа, Газимуро-заводской район, Забайкальский край </t>
  </si>
  <si>
    <t>ПС 110/10/6 кВ «Промплощадка»</t>
  </si>
  <si>
    <t xml:space="preserve">16-2017 от 20.06.2017 </t>
  </si>
  <si>
    <t>Заказчик ООО ГРК Быстринское
672000, Забайкальский край, г. Чита, ул. Лермонтова, д. 2 
Генподрядчик АО "РОСТ-С"
119019, г Москва, бульвар Никитский, дом 12, пом.3
Генеральный директор А.А. Текеев</t>
  </si>
  <si>
    <t>Этапы электромонтажных и пусконаладочных работ по объекту: ПС 110 кВ «Промплощадка» в рамках реализации проекта «Объекты внешнего электроснабжения Быстринского ГОКа: ПС 110/10/6 кВ «Промплощадка», ПС 35/10 кВ «Поселок», ВЛ 110 кВ и ВЛ 35 кВ»,</t>
  </si>
  <si>
    <t xml:space="preserve">Этапы электромонтажных и пусконаладочных работ </t>
  </si>
  <si>
    <t>684Д-32П-3012 от 03.07.2017</t>
  </si>
  <si>
    <t xml:space="preserve">1168-17 от 05.12.2017 </t>
  </si>
  <si>
    <t>Выполнение пусконаладочных работ по испытанию электрооборудования насосной станции CHZMEK-PST 704/70.2</t>
  </si>
  <si>
    <t>Заказчик ООО ГРК Быстринское
672000, Забайкальский край, г. Чита, ул. Лермонтова, д. 2 
Генподрядчик ООО "Востокгеология"
672003, РФ,  г. Чита, ул.Трактовая, 35б, стр. 9,
Генеральный директор Г.А. Шевчук</t>
  </si>
  <si>
    <t>Заказчик ООО "ГРК "Быстринское"
672000, Забайкальский край, г. Чита, ул. Лермонтова, д. 2 
Генподрядчик ООО "Востокгеология"
672003, РФ,  г. Чита, ул.Трактовая, 35б, стр. 9,
Генеральный директор Г.А. Шевчук
Подрядчик АО "РОСТ-С"
119019, г Москва, бульвар Никитский, дом 12, пом.3
Генеральный директор А.А. Текеев
Субподрядчик АО "Энергетические технологии"
664033, г. Иркутск, ул. Лермонтова, 130, оф. 110, Тел.: (3952) 423-523
Генеральный директор Черных О.Г.</t>
  </si>
  <si>
    <t xml:space="preserve">Насосная станция CHZMEK-PST 704/70.2 </t>
  </si>
  <si>
    <t xml:space="preserve">Работы по испытанию электрооборудования на объекте ООО "ГРК "Быстринское". Быстринский горно-обогатительный комбинат (ГОК). Сети и сооружения системы технического водоснабжения ОФ с насосной и резервуарами запаса воды. Насосная станции CHZMEK-PST 704/70.2 </t>
  </si>
  <si>
    <t>ЗРУ-110 кВ</t>
  </si>
  <si>
    <t>ЗАО "ГК "Электрощит"-ТМ Самара"
443048, г. Самара, пос. Красная Глинка, корпус заводоуправления ОАО "Электрощит"
т.(846)273-38-49</t>
  </si>
  <si>
    <t xml:space="preserve">79-2017ОНСО от 12.07.2017 </t>
  </si>
  <si>
    <t>Шеф-монтажные, шеф-наладочные и пусконаладочные работы оборудования ЗРУ 110 кВ на объекте Быстринский горно-обогатительный комбинат</t>
  </si>
  <si>
    <t>Шеф-монтажные, шеф-наладочные и пусконаладочные работы оборудования ЗРУ 110 кВ</t>
  </si>
  <si>
    <t xml:space="preserve">Демонтаж, монтаж и пусконаладочные работы терминала Siprotec 7SJ456 
</t>
  </si>
  <si>
    <t>Демонтаж, монтаж и пусконаладочные работы терминала Siprotec 7SJ456,  (Замена терминала на ПС 500кВ "Озёрная").</t>
  </si>
  <si>
    <t xml:space="preserve">99-16 ДС от 29.12.2016 </t>
  </si>
  <si>
    <t>ПС 500/220 кВ "Усть-Кут" 
г.Усть-Кут Иркутская область</t>
  </si>
  <si>
    <t xml:space="preserve">00000000000000000000/30-3000/ГП-29/03-10/02 от 10.04.2017 </t>
  </si>
  <si>
    <t xml:space="preserve">Электромонтажные работы по строительству объекта ПС 500 кВ Усть-Кут с заходами ВЛ 500 кВ и 220 кВ (по крылу 220 кВ)  для нужд филиала ПАО «ФСК ЕЭС» - МЭС Сибири 
</t>
  </si>
  <si>
    <t>ЭМР,  монтаж трансформаторного оборудования</t>
  </si>
  <si>
    <t>ПНР</t>
  </si>
  <si>
    <t>ОАО «ФСК ЕЭС» 
117630, г. Москва, ул. Академика Челомея, 5А.    
Филиал ОАО «ФСК ЕЭС»- МЭС Сибири.
660099, Красноярский край, Красноярск, ул. Лебедевой, 117 Тел. (391) 265-95-00 
Генподрядчик: АО Стройтрансгаз
 123112, г..Москва, ул. Тестовская, д. 10 
Подрядчик: АО "Сельэлектрострой"
660061, г. Красноярск, ул. Калинина, 66т. (391)221-71-27
Генеральный директор В.А. Жаров</t>
  </si>
  <si>
    <t>98/СПУ от 01.09.2017</t>
  </si>
  <si>
    <t>ЭМР</t>
  </si>
  <si>
    <t xml:space="preserve">ОАО «ФСК ЕЭС» 
117630, г. Москва, ул. Академика Челомея, 5А.    
Филиал ОАО «ФСК ЕЭС»- МЭС Сибири.
660099, Красноярский край, Красноярск, ул. Лебедевой, 117 Тел. (391) 265-95-00 
Генподрядчик: АО Стройтрансгаз
 123112, г..Москва, ул. Тестовская, д. 10 
Подрядчик: ООО "СЭСКО"
660049, Красноярский край, Красноярск, пр-т Мира, д.30, корп. 1, каб. 3-11
Директор Матюшенко Э.В.. 
</t>
  </si>
  <si>
    <t xml:space="preserve">Пусконаладочные работы оборудования ОРУ-220кВ, в целях строительства Объекта: «ПС 500 кВ Усть-Кут с заходами ВЛ 500 кВ и 220 кВ» для нужд филиала ПАО «ФСК ЕЭС» - МЭС Сибири </t>
  </si>
  <si>
    <t>7/2017 от 12.04.2017</t>
  </si>
  <si>
    <t>Выполнение корректировки проектной и рабочей документации по титулу "Строительство схемы выдачи электрической мощности ТЭЦ в г. Советская Гавань" по титулу "Строительство ТЭЦ в г. Советская Гавань, Хабаровский край"</t>
  </si>
  <si>
    <t xml:space="preserve">Выполнение корректировки проектной и рабочей документации </t>
  </si>
  <si>
    <t xml:space="preserve">ООО «Эльбрусская горно-строительная компания»
369300, КЧР, 
Усть-Джегутинский район, 
г. Усть-Джегута, ул. Ленина, 56 «А»
Тел./факс 8(8662)405-105
Директор Б.И. Мечиев
</t>
  </si>
  <si>
    <t xml:space="preserve">424Д-150П-3013 от 20.06.2017 </t>
  </si>
  <si>
    <t>Расчет электромагнитной совместимости частот ВЧ каналов (с выбором частот)</t>
  </si>
  <si>
    <t>Расчет электромагнитной совместимости частот ВЧ каналов (с выбором частот) по объекту «Реконструкция ГПП-110/6 кВ ИАЗ – филиал ПАО «Корпорация «Иркут»</t>
  </si>
  <si>
    <t>0257-17-Р-С-ПИ от 16.03.2017</t>
  </si>
  <si>
    <r>
      <t>Заказчик: ПАО Корпорация «Иркут»
 г.Иркутск, ул. Новаторов, 3 т..</t>
    </r>
    <r>
      <rPr>
        <sz val="8"/>
        <color rgb="FFFF0000"/>
        <rFont val="Times New Roman"/>
        <family val="1"/>
        <charset val="204"/>
      </rPr>
      <t>+7 (3952) 55-88-55</t>
    </r>
    <r>
      <rPr>
        <sz val="9"/>
        <color rgb="FFFF0000"/>
        <rFont val="Times New Roman"/>
        <family val="1"/>
        <charset val="204"/>
      </rPr>
      <t xml:space="preserve">
Подрядчик-ЗАО «Востсибэлектропроект»
РФ, 664025, г. Иркутск, ул. Степана Разина, 6</t>
    </r>
  </si>
  <si>
    <t>ВЛ-35 кВ «КПД-Нагаевская» 
Магоданская обл.</t>
  </si>
  <si>
    <t xml:space="preserve">Корректировка проектной и рабочей документации по устройству кабельной вставки ВЛ-35 кВ «КПД-Нагаевская» Строительство двухцепной ВЛ-35 кВ "КПД-Нагаевская" и ПС-35 "Нагаевская" для технологического присоединения больницы в г. Магадане </t>
  </si>
  <si>
    <t>Заказчик: Филиал ПАО Магаданэнерго «Южные электрические сети»
685021, г. Магадан, пер. Марчеканский, д. 27
Генподрядчик – ООО «Электросетьмонтаж»
685030, г. Магадан, ул. Пролетарская 98 
т.(413-2)606-054
Директор Баранов И.Ю.</t>
  </si>
  <si>
    <t xml:space="preserve">3/2017 от 06.02.2017 </t>
  </si>
  <si>
    <t>Корректировка проектной и рабочей документации</t>
  </si>
  <si>
    <t>Выбор частот ВЧ каналов РЗ и ПА</t>
  </si>
  <si>
    <t>ТП Чуна, ТП Огневка, ТП Маргудон, ТП Турма
Иркутская область</t>
  </si>
  <si>
    <t>540Д-150П-3013/77-9 от 14.08.2017</t>
  </si>
  <si>
    <t xml:space="preserve">Расчет электромагнитной совместимости частот ВЧ каналов (с выбором и согласованием рабочих частот) по объектам: «Техническое перевооружение ОРУ 220 кВ тяговой подстанции Кунерма с заменой трансформатора и элегазовых выключателей 220 кВ» Восточно-Сибирской дирекции инфраструктуры; "Техническое перевооружение ОРУ 220 кВ тяговой подстанции Якурим с заменой выключателей и защит 220 кВ" Восточно-Сибирской дирекции инфраструктуры
</t>
  </si>
  <si>
    <t>ТП Кунерма, ТП Якурим
Иркутская область</t>
  </si>
  <si>
    <t>Расчет электромагнитной совместимости частот ВЧ каналов</t>
  </si>
  <si>
    <t xml:space="preserve">529Д-150П-3013 от 14.08.2017 </t>
  </si>
  <si>
    <t xml:space="preserve">Выбор частот ВЧ каналов РЗ и ПА по ВЛ 110 кВ по титулу технического перевооружения тяговых подстанций Восточно-Сибирской железной дороги филиала ПАО «РЖД» по объекту: «Техническое перевооружение тяговых подстанций Чуна, Огневка, Маргудон, Турма. Технологическое присоединение к сетям ОАО «ИЭСК» </t>
  </si>
  <si>
    <t>ОАО «РЖД»
107174, Москва, Новая Басманная ул., д. 2
Генеральный директор – председатель правления ОАО "РЖД" О.В. Белозёров
Генеральный подрядчик – ООО «Желдорпроект»
129301, г. Москва, пр-т Мира, 186 корп.1
т. 8-495-649-82-90
Генеральный директор С.А. Фролов</t>
  </si>
  <si>
    <t>ОАО «РЖД»
107174, Москва, Новая Басманная ул., д. 2
Генеральный директор – председатель правления ОАО "РЖД" О.В. Белозёров 
Генеральный подрядчик – ПАО «Ленгипротранс»
196105, Санкт-Петербург, Московский проспект, 143</t>
  </si>
  <si>
    <t>Расчет электромагнитной совместимости частот ВЧ каналов (с выбором и согласованием рабочих частот) по объектам: ТП Дабан; ТП Ангоя; ТП Кичера; ТП Улькан; ТП Янчукан; ТП Анагракан; ТП Окусикан; ТП Перевал; ТП Таксимо; ТП Звездная; ТП Ния</t>
  </si>
  <si>
    <t>ТП Дабан; ТП Ангоя; ТП Кичера; ТП Улькан; ТП Янчукан; ТП Анагракан; ТП Окусикан; ТП Перевал; ТП Таксимо; ТП Звездная; ТП Ния
Иркутская область</t>
  </si>
  <si>
    <t>ОАО «РЖД»
107174, Москва, Новая Басманная ул., д. 2
Генеральный директор – председатель правления ОАО "РЖД" О.В. Белозёров 
Генеральный подрядчик – ООО "СРВ Групп"
117105, г. Москва, Варшавское шоссе, д. 33, офис 17
Генеральный директор Соснин В.В.</t>
  </si>
  <si>
    <t xml:space="preserve">564Д-150П-3013 от от 27.07.2017 </t>
  </si>
  <si>
    <t>Работы по проведению электрических измерений и испытаний электрооборудования</t>
  </si>
  <si>
    <t xml:space="preserve">Ч-РХИ-П/20/09/17 </t>
  </si>
  <si>
    <t xml:space="preserve">Работы по проведению электрических измерений и испытаний электрооборудования на объекте «Обогатительная фабрика «Быстринский ГОК» </t>
  </si>
  <si>
    <t xml:space="preserve">Электрооборудование на объекте «Обогатительная фабрика «Быстринский ГОК»
</t>
  </si>
  <si>
    <t>Заказчик ООО ГРК Быстринское
672000, Забайкальский край, г. Чита, ул. Лермонтова, д. 2 
Подрядчик - ООО "Ренейссанс Хэви Индастрис"
194021 г.Санкт-Петербург 
ул.Шателена д,26 литер А, пом.93</t>
  </si>
  <si>
    <t xml:space="preserve">Работы по переносу мачты освещения на причале, прокладке ВОЛС на объекте: "Инженерно-технические средства охраны пункта стоянки и зимнего хранения эксплуатационных судов Богучанской ГЭС в верхнем бьефе", по адресу: Красноярский край, Кежемский район, Пионерная база, Строительная площадка Богучанской ГЭС. </t>
  </si>
  <si>
    <t>Пункт стоянки и зимнего хранения эксплуатационных судов Богучанской ГЭС в верхнем бьефе</t>
  </si>
  <si>
    <t>Работы по переносу мачты освещения на причале, прокладке ВОЛС (СМР)</t>
  </si>
  <si>
    <t xml:space="preserve">РСНСБ-00159/17 от 08.06.2017 </t>
  </si>
  <si>
    <t xml:space="preserve">ПАО «Богучанская ГЭС»  
663491, г. Кодинск, стройбаза левого берега. Зд. 1, объединённая база №1 а/я 132 
тел.(39143) 3-10-00, 7-13-96
Генеральный директор Демченко В.В.
Подрядчик ООО «РедСис»
190000, г. Санкт-Петербург,
Английский проспект, дом 3, литера 
</t>
  </si>
  <si>
    <t xml:space="preserve">ПАО «Богучанская ГЭС»  
663491, г. Кодинск, стройбаза левого берега. Зд. 1, объединённая база №1 а/я 132 
тел.(39143) 3-10-00, 7-13-96
Подрядчик ООО Фирма «Синтез Н» 
Россия, Красноярский край г. Красноярск, 
ул. Взлетная 38 пом. 307 </t>
  </si>
  <si>
    <t xml:space="preserve">СН-507/2017 от 22.06.2017 </t>
  </si>
  <si>
    <t xml:space="preserve">Установка прожекторных мачт ПМ-21 в количестве 3-х штук для размещения проектируемого оборудования радиолокационного наблюдения и существующих прожекторов освещения, для нужд ПАО Богучанская ГЭС». </t>
  </si>
  <si>
    <t xml:space="preserve">Богучанская ГЭС
– район КПП №1, левый берег в нижнем бьефе ГЭС;
– район здания главной диспетчерской, нижний бьеф ГЭС, 
– район КПП №5а, правобережное примыкание КНП ГЭС.
</t>
  </si>
  <si>
    <t xml:space="preserve">Выполнение строительно-монтажных и пусконаладочных работ по устройству заземления прожекторных мачт ПМ-21, подготовка комплекта исполнительной документации по результатам выполненных работ. </t>
  </si>
  <si>
    <t>Выполнение строительно-монтажных и пусконаладочных работ по устройству заземления прожекторных мачт ПМ-21</t>
  </si>
  <si>
    <t xml:space="preserve">СН-326/2018 от 17.05.2018 </t>
  </si>
  <si>
    <t>Установка прожекторных мачт ПМ-21 в количестве 3-х штук для размещения проектируемого оборудования радиолокационного наблюдения (СМР)</t>
  </si>
  <si>
    <t>Работы по дегазации трансформаторного масла в шунтирующих реакторах РОМ-60000/500  установленных на объекте схемы выдачи мощности Богучанской ГЭС: «Открытый пункт перехода (500 кВ) на строящейся Богучанской ГЭС с токопроводами связи (500 кВ) - от комплектного распределительного устройства элегазового (500 кВ) до открытого пункта перехода (500 кВ)»</t>
  </si>
  <si>
    <t>Шунтирующий реактор тип РОМ-60000/500 производства HYUNDAI HEAVY INDUSTRIES, СО. Ltd.</t>
  </si>
  <si>
    <t>ПАО «Богучанская ГЭС»  
663491, г. Кодинск, стройбаза левого берега. Зд. 1, объединённая база №1 а/я 132 
тел.(39143) 3-10-00, 7-13-96
Подрядчик ООО «Эйч Ди Сервис» 
197374, Санкт-Петербург,
ул. Планерная, д.7 
Генеральный директор  Д.М. Линт</t>
  </si>
  <si>
    <t xml:space="preserve">HDS -BSS-17-432 от 16.11.2017 </t>
  </si>
  <si>
    <t xml:space="preserve">Работы по дегазации трансформаторного масла в шунтирующих реакторах РОМ-60000/500  </t>
  </si>
  <si>
    <t xml:space="preserve">1. Демонтаж вышедших из строя обогревателей.
2. Монтаж новых обогревателей вместо вышедших из строя (тип и место установки обогревателей указанно в таблице 1).
3. Проведение пусконаладочных работ вновь смонтированных обогревателей.
</t>
  </si>
  <si>
    <t>Выполнение работ по устранению неисправностей системы отопления объекта схемы выдачи мощности Богучанской ГЭС: «Открытый пункт перехода (500 кВ) на строящейся Богучанской ГЭС с токопроводами связи (500 кВ) - от комплектного распределительного устройства элегазового (500 кВ) до открытого пункта перехода (500 кВ)».</t>
  </si>
  <si>
    <t>Системы отопления : ОПП-500 на строящейся Богучанской ГЭС  - от КРУЭ-500 до ОПП-500.</t>
  </si>
  <si>
    <t>КГКУ «Дирекция по комплексному развитию Нижнего Приангарья» (КГКУ «ДКР НП»)
660017, г. Красноярск, ул. Урицкого, д. 123,    тел. (391) 227-81-31 факс: (391)227-81-53 
Директор Ю.П. Васильев</t>
  </si>
  <si>
    <t xml:space="preserve">01-11/2017 от 03.11.2017 </t>
  </si>
  <si>
    <t>Работы по ремонту электроосвещения и силовой разводки в электрощитовой, помещениях буфета, на 1 и 2 этажах здания Братского медицинского колледжа</t>
  </si>
  <si>
    <t>Работы по ремонту электроосвещения и силовой разводки</t>
  </si>
  <si>
    <t xml:space="preserve">222/17 от 13.12.2017 </t>
  </si>
  <si>
    <t xml:space="preserve">Областное государственное бюджетное профессиональное образовательное учреждение "Братский медицинский колледж" (ОГБПОУ БМК)
665724, Иркутская область,  г. Братск, ул. Комсомольская, д. 75 
Директор И.В. Котова
</t>
  </si>
  <si>
    <r>
      <t xml:space="preserve"> ПАО «ФСК ЕЭС» - МЭС Западной Сибири 
628406, Тюменская обл., г. Сургут, ул. Геологическая, д. 4 
Тел.: (3462) 77-75-12 Факс: (3462) 77-73-01 
Генподрядчик: Филиал АО «ЦИУС ЕЭС» — ЦИУС Западной Сибири 
628408, Тюменская обл., Ханты-Мансийский автономный округ - Югра, г. Сургут, ул. Университетская, д. 4, офис № 2
</t>
    </r>
    <r>
      <rPr>
        <sz val="8"/>
        <color rgb="FFC00000"/>
        <rFont val="Times New Roman"/>
        <family val="1"/>
        <charset val="204"/>
      </rPr>
      <t>Тел.: +7 (3462) 777-150Факс: +7 (3462) 777-122</t>
    </r>
    <r>
      <rPr>
        <sz val="9"/>
        <color rgb="FFC00000"/>
        <rFont val="Times New Roman"/>
        <family val="1"/>
        <charset val="204"/>
      </rPr>
      <t xml:space="preserve">
Подрядчик: ООО «Петроком»
</t>
    </r>
  </si>
  <si>
    <t>Комплекс пусконаладочных работ по силовому оборудованию, РЗА и ПА на ПП 500 кВ Тобол. 
Комплекс пусконаладочных работ по системк пожаротушения сооружений и реакторов на ПП 500 кВ Тобол. 
Электромонтажные работы по монтажу вторичного оборудования в здании ОПУ ПП 500 кВ Тобол, а также на смежных подстанциях: ПС 500 кВ Иртыш. 
Комплекс электромонтажных работ по основному и вторичному оборудованию на смежных подстанциях: ПС 500 кВ Демьянская, ПС 500 кВ Нелым, ПС 500 кВ Тюмень. 
Монтаж вторичной коммутации в части РЗА и ПА на ОРУ-2 ПП 500 кВ Тобол. 
Комплекс электромонтажных работ по противоаварийной автоматике и РЗА на  ПП 500 кВ Тобол, ПС 500 кВ Магистральная.</t>
  </si>
  <si>
    <t xml:space="preserve">ПП 500 кВ Тобол 
г.Тобольск, Тюменская область 
Смежные подстанции:  ПС 500 кВ Иртыш,  ПС 500 кВ Демьянская, ПС 500 кВ Нелым, ПС 500 кВ Тюмень, ПС 500 кВ Магистральная. </t>
  </si>
  <si>
    <t>21-09/17/Тб от 21.09.2017</t>
  </si>
  <si>
    <t xml:space="preserve"> 41/17-СВ от 21.06.2017</t>
  </si>
  <si>
    <t xml:space="preserve">Строительно-монтажные и пуско-наладочные работы по объекту филиала ПАО «Кубаньэнерго» Краснодарские электрические сети: «Реконструкция ПС 110/6-10 кВ «Северо-Восточная». Установка Т-3 мощностью 40 МВА» в объеме реконструкции 57 существующих и 23 вновь устанавливаемых ячеек 6-10 кВ 
</t>
  </si>
  <si>
    <t xml:space="preserve">Строительно-монтажные и пуско-наладочные работы </t>
  </si>
  <si>
    <t xml:space="preserve">ПС 110/6-10 кВ «Северо-Восточная» 
г. Краснодар, Краснодарский край 
</t>
  </si>
  <si>
    <t>ПАО "Кубаньэнерго" 
350033, г. Краснодар, ул. Ставропольская, 2
Т.8 (8612) 68-59-13, 8 (861) 268-59-13
Подрядчик: ООО "СК "Регионспецмонтаж" (ООО "СК "РСМ") 
344018, 
г. Ростов-на-Дону, пр. 
Буденновский, д. 80, офис 507
Тел: 8(863)-268-93-86  
Управляющий Прохоров М.А.</t>
  </si>
  <si>
    <t xml:space="preserve">Строительно-монтажные и пуско-наладочные работы по объекту филиала ПАО «Кубаньэнерго» Краснодарские электрические сети: «Реконструкция ПС 110/6-10 кВ "Северо-Восточная". Установка Т-3 мощностью 40 МВА» в объеме реконструкции 7 существующих ячеек 10 кВ. </t>
  </si>
  <si>
    <t>03.208</t>
  </si>
  <si>
    <t xml:space="preserve"> ПС 110/10 кВ «Юго-Западная»
г. Краснодар, Краснодарский край </t>
  </si>
  <si>
    <t xml:space="preserve">03/18-СВ от 01.03.2018 </t>
  </si>
  <si>
    <t>01/01-ЮЗ от 05.02.2018</t>
  </si>
  <si>
    <t xml:space="preserve">Строительно-монтажные и пуско-наладочные работы по объекту филиала ПАО «Кубаньэнерго» Краснодарские электрические сети: «Реконструкция ПС 110/10 кВ «Юго-Западная». Установка Т-3 мощностью 40 МВА» в объеме реконструкции 9 существующих ячеек 10 кВ. </t>
  </si>
  <si>
    <t>ПС Тяговая-1, ПС Тяговая-2 
г. Железногорск-Илимский
Иркутская обл.</t>
  </si>
  <si>
    <t xml:space="preserve">668Д-70П-3012 от 01.11.2017 </t>
  </si>
  <si>
    <t>Разгрузка двух трансформаторов (весом по 42,6 тн каждый) на территории ПС Тяговая-1 и ПС Тяговая-2 в г. Железногорск-Илимский</t>
  </si>
  <si>
    <t xml:space="preserve">Разгрузка двух трансформаторов (весом по 42,6 тн каждый) </t>
  </si>
  <si>
    <t xml:space="preserve">ООО «Транс Алгоритм»
РФ, 107140 г. Москва,
ул. Малая Красносельская д. 2/8, корп. 7
Тел./факс: 8(495)980-13-27
</t>
  </si>
  <si>
    <t>2/01-2018 от 16.01.2018</t>
  </si>
  <si>
    <t xml:space="preserve"> ПС 220 кВ «Мамакан» 
Иркутская область, Бодайбинский район, поселок Мамакан</t>
  </si>
  <si>
    <t>Проведение строительно-монтажных и пуско-наладочных работ «под ключ» в соответствии с проектной документацией по титулу «Реконструкция ПС 220кВ Мамакан с реализацией полной схемы с двумя рабочими СШ-100кВ и 220кВ и установкой второго АТ»</t>
  </si>
  <si>
    <t xml:space="preserve"> Доставка водным путем АТ-2 от ст. Усть-Кут до ПС-220 кВ Мамакан; 
регулировочного трансформатора  от ст. Усть-Кут до ПС-220 кВ Мамакан.
Доработка рабочей документации и составление локальных сметных расчетов стадии «Р» по рабочей документации.
 Демонтаж  электротехнического оборудования и металлоконструкций.
Земляные работы для устройства фундаментов трансформаторов и электротехнического оборудования.
Поставка и монтаж строительных конструкций.
Поставка, монтаж  и наладка основного электротехнического оборудования
Поставка, монтаж  и наладка оборудования систем РЗА, ПА, ПТК АСУТП, АИИС КУЭ, оборудования связи.
ПНР, приемо-сдаточные испытания и сдача в эксплуатацию всех систем.
Обучение персонала РЗА и ПА.
Выполнение мероприятий по метрологическому обеспечению АИИС КУЭ, ПТК, АСУТП.
Проверка обеспечения требований электромагнитной совместимости.
Проверка параметров заземляющего устройства после монтажа оборудования и его  заземления</t>
  </si>
  <si>
    <t>10.2019 (выполнено на 05.2019 84%
520 504 тыс.руб)</t>
  </si>
  <si>
    <t>АО «Витимэнерго» 
666902, Российская Федерация Иркутская область, г. Бодайбо, Подстанция, д. 4;
Те.: 8 (39561) 56060 доб 44100 
Директор – Машковский А.Р.
Генподрядчик АО «Витимэнергострой»
664003, г Иркутск, ул. Ленина, 21
Тел.89149266010 Тел/факс: 8(3952) 33-60-35
Генеральный директор Заиграев А.С.</t>
  </si>
  <si>
    <t xml:space="preserve">ВЭСТ-12/07-2018 от 02.07.2018 </t>
  </si>
  <si>
    <t xml:space="preserve">Поставка МТР и О, проведение строительно-монтажных и пуско-наладочных работ </t>
  </si>
  <si>
    <t xml:space="preserve"> ПС 220 кВ «Мамакан» 
ПС 110 кВ "Перевоз"
Иркутская область, Бодайбинский район, 
поселок  Мамакан, поселок  Перевоз</t>
  </si>
  <si>
    <t>Сроительно-монтажные и пусконаладочные работы по титулу: «Установка батарей статических конденсаторов на подстанциях АО «Витимэнерго» Бодайбинского энергорайона» ( ПС 220 кВ «Мамакан» 
ПС 110 кВ "Перевоз")</t>
  </si>
  <si>
    <t>ПАО «МРСК Сибири»
660021, Красноярский край, г. Красноярск, 
ул. Бограда, 144а;</t>
  </si>
  <si>
    <t xml:space="preserve">Строительно-монтажные и пусконаладочные работы по объекту «Комплексная реконструкция ПС 110/10 кВ «Юбилейная» с установкой трансформаторов 2x25 MBA и реконструкцией ОРУ/ЗРУ»,  </t>
  </si>
  <si>
    <t xml:space="preserve">поставка оборудования, строительно-монтажные и пусконаладочные работы по объекту </t>
  </si>
  <si>
    <t xml:space="preserve">14.2400.10920.17 от 01.12.2017 </t>
  </si>
  <si>
    <t xml:space="preserve">Разработка рабочей документации в соответствии с утвержденной проектной документацией по объекту «Комплексная реконструкция ПС 110/10 кВ «Юбилейная» с установкой трансформаторов 2х25 МВА и реконструкцией ОРУ/ЗРУ» </t>
  </si>
  <si>
    <t xml:space="preserve">14.2400.11695.17 от 27.12.2017 </t>
  </si>
  <si>
    <t>Разработка рабочей документации в соответствии с утвержденной проектной документацией</t>
  </si>
  <si>
    <t>ПС 110/10 кВ «Юбилейная», Реконструкция
Красноярский край, г. Красноярск, 
ул. 9 мая, 2м.</t>
  </si>
  <si>
    <t>ПС 110/10 кВ «Молодежная»
Реконструкция
Красноярский край, г. Красноярск, ул. Сурикова, 54а.;</t>
  </si>
  <si>
    <t xml:space="preserve">11.2400.11694.17 от 27.12.2017 </t>
  </si>
  <si>
    <t xml:space="preserve">Разработка рабочей документации в соответствии с утвержденной проектной документацией по объекту «Комплексная реконструкция ПС 110/10 кВ "Молодежная" с заменой трансформаторов 2х25 на 2х40 МВА и реконструкцией ОРУ/ЗРУ» </t>
  </si>
  <si>
    <t>844-017-П от 01.12.2017</t>
  </si>
  <si>
    <t>ПАО «МРСК Сибири»
660021, Красноярский край, г. Красноярск, 
ул. Бограда, 144а;
Генподрядчик АО "Гидроэлектромонтаж"
675014, Амурская область, г.Благовещенск, ул.Пионерская, 204;
Генеральный директор Васильев В.А.</t>
  </si>
  <si>
    <t>2019
(на 05.2019 93%
190 410 тыс.руб)</t>
  </si>
  <si>
    <t>Сроительно-монтажные и пусконаладочные работы по объекту «Комплексная реконструкция ПС 110/10 кВ "Молодежная" с заменой трансформаторов 2х25 на 2х40 МВА и реконструкцией ОРУ/ЗРУ»</t>
  </si>
  <si>
    <t xml:space="preserve">Осуществление работ по разработке проектно-сметной документации на реконструкцию ПС 110/35/10 кВ № 54 «Академгородок» с установкой защиты от дуговых замыканий в ячейках КРУ 10 кВ </t>
  </si>
  <si>
    <t xml:space="preserve"> ПС 110/35/10 кВ № 54 «Академгородок» 
Красноярский край, г. Красноярск</t>
  </si>
  <si>
    <t xml:space="preserve">11.2400.11115.18 от 30.11.2018 </t>
  </si>
  <si>
    <t xml:space="preserve">Строительство ГПП 110/6 кВ АО "У-УАЗ" с реконструкцией воздушных ЛЭП для заходов 110 кВ и реконструкцией кабельных ЛЭП отходящих фидеров 6 кВ (под ключ)".
</t>
  </si>
  <si>
    <t xml:space="preserve">ЮР 5043 от 28.12.2017 </t>
  </si>
  <si>
    <t xml:space="preserve">Проектные работы и инженерные изыскания </t>
  </si>
  <si>
    <t>Работы по подготовке проектной и рабочей документации</t>
  </si>
  <si>
    <t>СМР. ПНР, поставка оборудования</t>
  </si>
  <si>
    <t>07.2019
(на 05.2019-98%
 420 893 тыс.руб)</t>
  </si>
  <si>
    <t xml:space="preserve">Комплекс работ по созданию противоаварийной автоматики ТЭЦ и ПС 220 кВ ЦРП, находящейся по адресу: РФ, Забайкальский край, г. Краснокаменск, Теплоэлектроцентраль (ТЭЦ)
</t>
  </si>
  <si>
    <t>АО "ОТЭК" (Объединённая теплоэнергетическая компания)
+7 (495) 357-00-14
119017, г. Москва, пер.Погорельский, д.7, ст.2
Подрядчик ООО «Амурэлектрощит»
675014, Амурская обл., г.Благовещенск, 
ул. Пионерская, 204
Директор В.В.Козлов</t>
  </si>
  <si>
    <t>4 от 11.07.2018</t>
  </si>
  <si>
    <t xml:space="preserve">Теплоэлектроцентраль (ТЭЦ)
 РФ, Забайкальский край, г. Краснокаменск </t>
  </si>
  <si>
    <t xml:space="preserve">. Строительно-монтажные и пусконаладочные работы </t>
  </si>
  <si>
    <t>9 от 03.09.2018</t>
  </si>
  <si>
    <t>10.11.2019</t>
  </si>
  <si>
    <t>03.09.2018</t>
  </si>
  <si>
    <t>ОГБПОУ "Братский медицинский колледж"
г. Братск Иркутская обл.</t>
  </si>
  <si>
    <t xml:space="preserve">99Д-40П-3014 от 09.01.2018 </t>
  </si>
  <si>
    <t>ПНР по испытаниям автоматических выключателей, находящихся в электрощитовой, в буфете, на 1 и 2 этажах здания Братского медицинского колледжа</t>
  </si>
  <si>
    <t>ПНР по испытаниям автоматических выключателей</t>
  </si>
  <si>
    <t xml:space="preserve">100Д-40П-3014 от 09.01.2018 </t>
  </si>
  <si>
    <t>ПНР по профилактическим измерениям сопротивления заземляющего устройства, находящегося в здании Братского медицинского колледжа</t>
  </si>
  <si>
    <t>ПНР по профилактическим измерениям сопротивления заземляющего устройства</t>
  </si>
  <si>
    <t xml:space="preserve">Разработка и оформление технических решений при осуществлении авторского надзора за строительством объекта «Строительство отпайки ВЛ-220 кВ на ПС 220 кВ Малая Елань» 
</t>
  </si>
  <si>
    <t>Разработка и оформление технических решений при осуществлении авторского надзора</t>
  </si>
  <si>
    <t>1-ЮЭС-2018(ВЛМЕ-АН)/СП-ГЭМ от 24.01.2018</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</si>
  <si>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ЮЭС Прошутинский А.Л.
Подрядчик  ООО «ПНП Вектор-А»
 664003, РФ, г. Иркутск,
ул. Урицкого, д.5-7.
Генеральный директор Никитин А.А.</t>
  </si>
  <si>
    <t>Комплекс пусконаладочных работ на объекте ПАО «НЛМК» «Реконструкция УТЭЦ с установкой турбовоздуходувки»</t>
  </si>
  <si>
    <t xml:space="preserve">Комплекс пусконаладочных работ </t>
  </si>
  <si>
    <t>02/03/СП от 01.03.2018</t>
  </si>
  <si>
    <t>УТЭЦ (Утилизационная ТЭЦ) с установкой турбовоздуходувки
Липецкая площадка Новолипецкого металлургического комбината (НЛМК)
Реконструкция
г. Липецк</t>
  </si>
  <si>
    <t>Областное государственное бюджетное учреждение «Спортивная школа олимпийского резерва «Спартак» (ОГБУ СШОР «Спартак»)</t>
  </si>
  <si>
    <t>Спортивная школа олимпийского резерва «Спартак»
Иркутская обл., г.Братск, ул. Северный Артек, 3;</t>
  </si>
  <si>
    <t xml:space="preserve">Эксплуатационные испытания и замеры сопротивлений в электроустановках на следующих объектах:
- Нежилое здание – учебно-тренировочная база, находящаяся по адресу: г. Братск, ул. Северный Артек, 3;
-Нежилое здание – спортзал, находящийся по адресу: г. Братск, ул. Комсомольская, 35.
</t>
  </si>
  <si>
    <t>Эксплуатационные испытания и замеры сопротивлений в электроустановках</t>
  </si>
  <si>
    <t xml:space="preserve">3/2018 от 19.02.2018 </t>
  </si>
  <si>
    <t xml:space="preserve"> ПАО «НЛМК» (Новолипецкий металлургический комбинат)
398040, г. Липецк, апл. Металлургов, 2
Управляющий директор  С. В. Филатов.
Подрядчик ООО «Камаэлектромонтаж»
94044, г. Санкт-Петербург, ул. Набережная Пироговская, д. 21, лит А, офис 54
Почтовый адрес: 617762, Пермский край, г. Чайковский, ул. Гагарина, 140
Директор А.Н. Ребров
</t>
  </si>
  <si>
    <t>Выполнение пусконаладочных работ на объекте:  "Реконструкция переменного и постоянного оперативного токов для нужд филиала ПАО "РусГидро" - "Воткинская ГЭС"</t>
  </si>
  <si>
    <t xml:space="preserve">06/06/СП от 29.06.2018 </t>
  </si>
  <si>
    <t xml:space="preserve">пусконаладочные работы по испытанию высоковольтных ячеек 6 кВ </t>
  </si>
  <si>
    <t xml:space="preserve">Пусконаладочные работы по испытанию высоковольтных ячеек 6 кВ по титулу «Строительство резервного источника питания «ВЛ-35 кВ, ПС 35/6 кВ «ЗИФ» - объектов электросетевой инфраструктуры АО «ТЗРК» на месторождении «Дражное» в Оймяконском районе Республики Саха (Якутия)» 
</t>
  </si>
  <si>
    <t xml:space="preserve">КРУ-6 на месторождении «Дражное» 
Оймяконский район, 
Республика Саха (Якутия) </t>
  </si>
  <si>
    <t>ООО ФСК "САНТЭЛ"
664081, г. Иркутск, ул. Пискунова, 150/3 
т. 8(3952)733-143
Генеральный директор И.В. Матвиенко</t>
  </si>
  <si>
    <t xml:space="preserve">5 от 19.04.2018 </t>
  </si>
  <si>
    <t>Усть-Среднеканская ГЭС 
 Магаданская область, п. Синегорье
Реконструкция</t>
  </si>
  <si>
    <t xml:space="preserve">Монтаж токопровода (сварочные работы) </t>
  </si>
  <si>
    <t xml:space="preserve">989-018-У от 28.03.2018 </t>
  </si>
  <si>
    <t xml:space="preserve">Комплекс работ по монтажу токопровода (сварочные работы) на Усть-Среднеканской ГЭС  Магаданская область, </t>
  </si>
  <si>
    <t>АО «Усть-Среднеканская ГЭС им. А.Ф. Дьякова»
686222, Магаданская область, п. Синегорье, ул. Когодовского, д.7 
Подрядчик: АО "Гидроэлектромонтаж"
675000, Амурская область, г. Благовещенск, ул. Зейская, 225/3
Генеральный директор В.А. Васильев</t>
  </si>
  <si>
    <t>Работы по расчету электрических режимов сети 110 кВ для целей разработки проектной документации объекта «ВЛ 110 кВ и ПС 110/10 кВ системы внешнего электроснабжения объекта «Угольный перегрузочный терминал в районе м. Бурный (Хабаровский край)»</t>
  </si>
  <si>
    <t>ВЛ 110 кВ и ПС 110/10 кВ системы внешнего электроснабжения объекта «Угольный перегрузочный терминал в районе м. Бурный
пгт Ванино Хабаровский край</t>
  </si>
  <si>
    <t>ООО "ДВВП" (Дальневосточный Ванинский порт).
682860, Хабаровский край, р-н Ванинский, рп Ванина,ул. Железнодорожная, 1, пом 16
Подрядчик: АО "Гидроэлектромонтаж"
675000, Амурская область, г. Благовещенск, ул. Зейская, 225/3
Генеральный директор В.А. Васильев</t>
  </si>
  <si>
    <t xml:space="preserve">1062/1-018-У от 19.06.2018 </t>
  </si>
  <si>
    <t>Работы по расчету электрических режимов сети 110 кВ</t>
  </si>
  <si>
    <t>ПАО «МРСК Сибири»
660021, Красноярский край, г. Красноярск, 
ул. Бограда, 144а;
Подрядчик АО "Гидроэлектромонтаж"
675014, Амурская область, г.Благовещенск, ул.Пионерская, 204;
Генеральный директор Васильев В.А.</t>
  </si>
  <si>
    <t xml:space="preserve">Работы по монтажу концевых муфт на ПС 110кВ «Юбилейная» в г. Красноярске.                                                                              </t>
  </si>
  <si>
    <t>Работы по монтажу концевых муфт на ПС 110кВ «Юбилейная»</t>
  </si>
  <si>
    <t xml:space="preserve">1121/1-018-СП от 01.08.2018 </t>
  </si>
  <si>
    <t xml:space="preserve">Выполнение работ по расчёту электрических режимов сети 110 кВ для целей разработки проектной документации объекта «Расширение РУ 110 кВ ПС 220 кВ Ванино на две линейные ячейки (для ТП энергопринимающих устройств АО «Прайм»)» </t>
  </si>
  <si>
    <t>ПС 220 кВ Ванино
Реконструкция (расширение ОРУ 110 кВ на две линейные ячейки)
пгт Ванино, Хабаровский край</t>
  </si>
  <si>
    <t>АО «Прайм»
682860, Хабаровский край, Ванинский район, рп Ванино, Приморский бульвар, дом 8, пом 7
Генеральный директор Дудуев С.И.
Подрядчик: АО "Гидроэлектромонтаж"
675000, Амурская область, г. Благовещенск, ул. Зейская, 225/3
Генеральный директор В.А. Васильев</t>
  </si>
  <si>
    <t xml:space="preserve"> 621Д-150П-3013 от 12.09.2018 </t>
  </si>
  <si>
    <t>Выполнение  пусконаладочных и электромонтажных работ на ПС 220 Томмот.</t>
  </si>
  <si>
    <t xml:space="preserve">1152/1-018-Р от 01.09.2018 </t>
  </si>
  <si>
    <t>Подрядчик: АО "Гидроэлектромонтаж"
675000, Амурская область, г. Благовещенск, ул. Зейская, 225/3
Генеральный директор В.А. Васильев</t>
  </si>
  <si>
    <t>ПС 220 Томмот
п. Томмот Республика Саха (Якутия) 
Реконструкция</t>
  </si>
  <si>
    <t>Выполнение  пусконаладочных и электромонтажных работ (Монтаж и ПНР автотрансформаторов АТДЦТН-63000 220 (2-ед.) и трансформаторов ТДН-16000/110 (2-ед)),</t>
  </si>
  <si>
    <t xml:space="preserve">Администрация муниципального образования «Братский район», </t>
  </si>
  <si>
    <t>работы по разработке проектно-сметной документации</t>
  </si>
  <si>
    <t>Работы по разработке проектно-сметной документации по объекту: "Капитальный ремонт водораспределительного узла по адресу: Иркутская обл., Братский р-н, п. Боровской"</t>
  </si>
  <si>
    <t xml:space="preserve">Водораспределительный узел
Иркутская обл., Братский р-н, п.Боровской
Разработка проектно-сметной документации </t>
  </si>
  <si>
    <t xml:space="preserve">25 от 12.02.2018 </t>
  </si>
  <si>
    <t xml:space="preserve">Пусконаладочные работы на объекте ЗАО «БоАЗ», </t>
  </si>
  <si>
    <t xml:space="preserve">ЗАО "Богучанский Алюминиевый Завод"
663467, Красноярский край, Богучанский р-н, Промплощадка Богучанского алюминиевого завода 
Генподрядчик АО "ТХМ"
309515 РФ Белгородская область г. Старый Оскол станция «Котел», Промузел, площадка «Монтажная», проезд Ш-6, строение №3 Генеральный директор Кузин И.Н.
</t>
  </si>
  <si>
    <t xml:space="preserve">83-18 от 11.05.2018 </t>
  </si>
  <si>
    <t>Разгрузка 2-х силовых трансформаторов типа ТРДН-40000/220 с ж/д транспортера, погрузка на автомобильный трал в локомотивном депо п. Чуна и разгрузка с автомобильного трала на территории НПС-2</t>
  </si>
  <si>
    <t>НПС-2 трубопроводной системы «Восточная Сибирь - Тихий океан»
Иркутская обл.</t>
  </si>
  <si>
    <t xml:space="preserve">ООО «ПЛК»
197341, г. Санкт-Петербург, Коломяжский пр-т
д. 33, корп. 2, лит. А, пом. 57-Н 
Тел.: 8(812)400-8-004
Генеральный  директор И.Б. Асиновский
</t>
  </si>
  <si>
    <t xml:space="preserve">377Д-70П-3012 от 30.05.2018 </t>
  </si>
  <si>
    <t>Разгрузка 2-х силовых трансформаторов типа ТРДН-40000/220 с ж/д транспортера, погрузка на автомобильный трал</t>
  </si>
  <si>
    <t>НПС-5 трубопроводной системы «Восточная Сибирь - Тихий океан»
Иркутская обл.</t>
  </si>
  <si>
    <t xml:space="preserve">426Д-70П-3012 от 21.06.2018 </t>
  </si>
  <si>
    <t xml:space="preserve">Разгрузка силового трансформатора типа ТРДН-40000/220 с ж/д транспортера на автомобильный трал в ж/д тупике ООО "Велесстрой" и разгрузка с автомобильного трала на территории НПС-5 в г. Железногорск-Илимский 
</t>
  </si>
  <si>
    <t xml:space="preserve">431Д-70П-3012 от 26.06.2018 </t>
  </si>
  <si>
    <t xml:space="preserve">Разгрузка силового трансформатора типа ТРДН-40000/220 с ж/д транспортера на автомобильный трал в ж/д тупике ООО "Велесстрой" и разгрузка с автомобильного трала на территории НПС-5 в г. Железногорск-Илимский 
</t>
  </si>
  <si>
    <t>Разгрузка силового трансформатора типа ТРДН-40000/220 с ж/д транспортера на автомобильный трал в ж/д тупике ООО "Велесстрой" и разгрузка с автомобильного трала на территории НПС-5</t>
  </si>
  <si>
    <t>220 кВ "Петровск-Забайкальская" 
 Забайкальский край, 
Петровск-Забайкальский
Модернизация</t>
  </si>
  <si>
    <t xml:space="preserve">Филиал ОАО «ФСК ЕЭС»- МЭС Сибири.
660099, Красноярский край, Красноярск, ул. Лебедевой, 117 Тел. (391) 265-95-00 
ООО «Элвест»
620137, г. Екатеринбург, ул. Студенческая, 1, корп.18, оф.208
Фактический адрес: 623700, Свердловская обл., г. Березовский, п. Ленинский, д.30
Тел.(343) 383-46-18
Генеральный директор М.В. Кочедыков 
</t>
  </si>
  <si>
    <t xml:space="preserve">1/18 от 10.07.2018 </t>
  </si>
  <si>
    <t>Работы по испытаниям и измерениям оборудования 35 кВ (выключателей - 2 шт., разъединителей, ошиновки и ОПН - 6 шт.) на объекте: ПС 220 кВ «Петровск-Забайкальская»</t>
  </si>
  <si>
    <t>Работы по испытаниям и измерениям оборудования 35 кВ</t>
  </si>
  <si>
    <t xml:space="preserve">Рогунская ГЭС
Республика Таджикистан, г. Рогун </t>
  </si>
  <si>
    <t>Монтаж токопроводов генераторного напряжения ТЭНЕ-24-26000-560 УХЛ4.1 и ТЭНЕ-24-2000-850 УХЛ1 гидроагрегата №6 Рогунской ГЭС</t>
  </si>
  <si>
    <t>Монтаж токопроводов</t>
  </si>
  <si>
    <t>Заказчик: ОАО Рогунская ГЭС 
Генподрядчик: ОАО «Точикгидроэлектромонтаж»
734060, Республика Таджикистан, г. Душанбе, ул. Н. Хувайдуллоева, д. 377/1
Генеральный директор Сафаров И.Д.</t>
  </si>
  <si>
    <t xml:space="preserve"> 6 от 13.07.2018 </t>
  </si>
  <si>
    <t>Пусконаладочные работы трансформаторов силовых масляных типа ТДТН-40000/110 ВМ УХЛ1 в количестве 2 (двух) единиц на объекте: «ПС 110 кВ Шестой Рудник»</t>
  </si>
  <si>
    <t>Пусконаладочные работы трансформаторов силовых масляных</t>
  </si>
  <si>
    <t>Комплекс пусконаладочных работ по силовому оборудованию, РЗА и ПА Электромонтажные работы по монтажу вторичного оборудования</t>
  </si>
  <si>
    <t xml:space="preserve">Выполнение землеустроительных и проектно-изыскательских работ </t>
  </si>
  <si>
    <t xml:space="preserve"> Выполнение землеустроительных и проектно-изыскательских работ по объекту: "Строительство ВЛ 35-кВ, ПС 35/6кВ "Боково"</t>
  </si>
  <si>
    <t>ПС35/6 кВ "Боково
г. Иркутск, ж/р Боково
Землеустроительные и проектно-изыскательские работы</t>
  </si>
  <si>
    <t xml:space="preserve"> корректировка рабочей документации</t>
  </si>
  <si>
    <t>АН</t>
  </si>
  <si>
    <t>ПС 110 кВ Шестой Рудник
Реконструкция</t>
  </si>
  <si>
    <t xml:space="preserve">АО «Группа «СВЭЛ»
620010, Свердловская область, г. Екатеринбург, ул. Черняховского, 61
Тел.(343) 253-50-13
Директор департамента продаж масляных трансформаторов АО «Группа «СВЭЛ» 
Д.И. Певцов </t>
  </si>
  <si>
    <t>Комплекс работ по техническому перевооружению релейной защиты ВЛ 110 кВ ТЭЦ и ПС 220 кВ ЦРП, находящейся по адресу: РФ, Забайкальский край, г. Краснокаменск, Теплоэлектроцентраль (ТЭЦ)</t>
  </si>
  <si>
    <t>АО "ОТЭК" (Объединённая теплоэнергетическая компания)
+7 (495) 357-00-14
119017, г. Москва, пер.Погорельский, д.7, ст.2
Подрядчик ООО «ЭКРА-Сибирь» 
660064, 
г. Красноярск, ул. Капитанская, 14, 
оф. 257
Генеральный директор А.М. Мироненко</t>
  </si>
  <si>
    <t xml:space="preserve">30/ЭС-18 от 15.10.2018 </t>
  </si>
  <si>
    <t xml:space="preserve">Работы по ремонту трансформаторов Тайшетского алюминиевого завода </t>
  </si>
  <si>
    <t>Тайшетский Алюминиевый Завод  Иркутская область, Тайшетский район, село Старый Акульшет, территория Промплощадки Тайшетского Алюминиевого завода
Строительство</t>
  </si>
  <si>
    <t xml:space="preserve">Общество с ограниченной ответственностью "РУСАЛ Тайшетский Алюминиевый Завод" (ООО РУСАЛ Тайшет") в лице ООО «ИСК»
РФ, 665023, Иркутская обл., Тайшетский р-н, с.Старый Окульшет, ул.Советская, д.41  </t>
  </si>
  <si>
    <t xml:space="preserve">446С001С305 от 24.09.2018 </t>
  </si>
  <si>
    <t>Транспортировка и такелаж трансформаторов КПП-1. Монтаж оборудования КПП-1. Монтаж оборудования ГПП-1</t>
  </si>
  <si>
    <t>Транспортировка и такелаж трансформаторов КПП-1. . Монтаж оборудования КПП-1. Монтаж оборудования ГПП-1</t>
  </si>
  <si>
    <t xml:space="preserve">Выполнение работ по ремонту регулировочного автотрансформатора 148МВА (148000КВА) 220 кВ зав. №317183 на Тайшетском Алюминиевом заводе.
</t>
  </si>
  <si>
    <t>ЗАО АСМУ «Стальконструкция»</t>
  </si>
  <si>
    <t>Тайшетский Алюминиевый Завод  
Кремниевая преобразовательная подстанция (КПП-1), Главная понизительная подстанция (ГПП-1)
Иркутская область, Тайшетский район, село Старый Акульшет, территория Промплощадки Тайшетского Алюминиевого завода</t>
  </si>
  <si>
    <t>Тайшетский Алюминиевый Завод  
Кремниевая преобразовательная подстанция (КПП-1)
Иркутская область, Тайшетский район, село Старый Акульшет, территория Промплощадки Тайшетского Алюминиевого завода</t>
  </si>
  <si>
    <t xml:space="preserve">627Д-70П-3012 от 17.09.2018 </t>
  </si>
  <si>
    <t xml:space="preserve"> 43Д-40П-3012 от 20.12.2018 </t>
  </si>
  <si>
    <t>Выполнение работ по профилактическим испытаниям электрооборудования ООО ПМП «Металлургмонтаж»</t>
  </si>
  <si>
    <t>ООО ПМП «Металлургмонтаж»
659315, Алтайский край, г. Бийск, ул. Социалистическая 17 «а», оф. 21</t>
  </si>
  <si>
    <t>Электрооборудование ООО ПМП «Металлургмонтаж»
 Алтайский край, г. Бийск
Профилактические испытания</t>
  </si>
  <si>
    <t>Выполнение работ по профилактическим испытаниям электрооборудования</t>
  </si>
  <si>
    <t>1.25</t>
  </si>
  <si>
    <t>1.26</t>
  </si>
  <si>
    <t>1.27</t>
  </si>
  <si>
    <t>1.28</t>
  </si>
  <si>
    <t>1.29</t>
  </si>
  <si>
    <t>1.30</t>
  </si>
  <si>
    <t>1.31</t>
  </si>
  <si>
    <t>1.32</t>
  </si>
  <si>
    <t>1.33</t>
  </si>
  <si>
    <t>98/2012 от 30.08.2012</t>
  </si>
  <si>
    <t xml:space="preserve"> 2011 по 2018 г.г.</t>
  </si>
  <si>
    <t>2.24</t>
  </si>
  <si>
    <t>2.25</t>
  </si>
  <si>
    <t>2.26</t>
  </si>
  <si>
    <t>2.27</t>
  </si>
  <si>
    <t>2.28</t>
  </si>
  <si>
    <t>3.4</t>
  </si>
  <si>
    <t>3.5</t>
  </si>
  <si>
    <t>4.19</t>
  </si>
  <si>
    <t>4.20</t>
  </si>
  <si>
    <t>4.21</t>
  </si>
  <si>
    <t>4.22</t>
  </si>
  <si>
    <t>4.23</t>
  </si>
  <si>
    <t>4.24</t>
  </si>
  <si>
    <t>4.25</t>
  </si>
  <si>
    <t>4.26</t>
  </si>
  <si>
    <t>4.27</t>
  </si>
  <si>
    <t>4.28.1</t>
  </si>
  <si>
    <t>4.28.2</t>
  </si>
  <si>
    <t>4.29</t>
  </si>
  <si>
    <t>4.30</t>
  </si>
  <si>
    <t>6.</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</si>
  <si>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</si>
  <si>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</si>
  <si>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</si>
  <si>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</si>
  <si>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</si>
  <si>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</si>
  <si>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</si>
  <si>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</si>
  <si>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</si>
  <si>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</si>
  <si>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</si>
  <si>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</si>
  <si>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</si>
  <si>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</si>
  <si>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</si>
  <si>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</si>
  <si>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</si>
  <si>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</si>
  <si>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</si>
  <si>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</si>
  <si>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</si>
  <si>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</si>
  <si>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</si>
  <si>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</si>
  <si>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</si>
  <si>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</si>
  <si>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</si>
  <si>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7.2</t>
  </si>
  <si>
    <t>7.3</t>
  </si>
  <si>
    <t>7.4</t>
  </si>
  <si>
    <t>7.5</t>
  </si>
  <si>
    <t>9.8</t>
  </si>
  <si>
    <t>10.2</t>
  </si>
  <si>
    <t>10.3</t>
  </si>
  <si>
    <t>10.4</t>
  </si>
  <si>
    <t>10.5</t>
  </si>
  <si>
    <t>10.6</t>
  </si>
  <si>
    <t>10.7</t>
  </si>
  <si>
    <r>
      <t xml:space="preserve"> ТЭЦ в г. Советская Гавань
</t>
    </r>
    <r>
      <rPr>
        <sz val="9"/>
        <color rgb="FFC00000"/>
        <rFont val="Times New Roman"/>
        <family val="1"/>
        <charset val="204"/>
      </rPr>
      <t xml:space="preserve">Хабаровский край 
</t>
    </r>
  </si>
  <si>
    <t>14.1</t>
  </si>
  <si>
    <t>14.2</t>
  </si>
  <si>
    <t>14.3</t>
  </si>
  <si>
    <t>14.4</t>
  </si>
  <si>
    <t>14.5</t>
  </si>
  <si>
    <t>16.1</t>
  </si>
  <si>
    <t>16.2</t>
  </si>
  <si>
    <t>24.3</t>
  </si>
  <si>
    <t>26.1</t>
  </si>
  <si>
    <t>26.2</t>
  </si>
  <si>
    <t>26.3</t>
  </si>
  <si>
    <t>26.4</t>
  </si>
  <si>
    <t>28.1</t>
  </si>
  <si>
    <t>28.2</t>
  </si>
  <si>
    <t>30.1</t>
  </si>
  <si>
    <t>30.2</t>
  </si>
  <si>
    <t>33.1</t>
  </si>
  <si>
    <t>33.2</t>
  </si>
  <si>
    <t>33.3</t>
  </si>
  <si>
    <t>33.4</t>
  </si>
  <si>
    <t>33.5</t>
  </si>
  <si>
    <t>33.6</t>
  </si>
  <si>
    <t>34.3</t>
  </si>
  <si>
    <t>38.1</t>
  </si>
  <si>
    <t>38.2</t>
  </si>
  <si>
    <t>38.3</t>
  </si>
  <si>
    <t>38.4</t>
  </si>
  <si>
    <t>39.1</t>
  </si>
  <si>
    <t>39.2</t>
  </si>
  <si>
    <t>азработка проектной, рабочей документации, ОВОС, инженерных изысканий, прохождение негосударственной экспертизы, сопровождение прохождения экологической экспертизы,</t>
  </si>
  <si>
    <t xml:space="preserve">Строительно-монтажные, наладочные работы </t>
  </si>
  <si>
    <t>44.1</t>
  </si>
  <si>
    <t>44.2</t>
  </si>
  <si>
    <t>54.1</t>
  </si>
  <si>
    <t>54.2</t>
  </si>
  <si>
    <t>54.3</t>
  </si>
  <si>
    <t>54.4</t>
  </si>
  <si>
    <t>56.1</t>
  </si>
  <si>
    <t>56.2</t>
  </si>
  <si>
    <t>56.3</t>
  </si>
  <si>
    <t>61.1</t>
  </si>
  <si>
    <t>61.2</t>
  </si>
  <si>
    <t>61.3</t>
  </si>
  <si>
    <t>61.4</t>
  </si>
  <si>
    <t>61.5</t>
  </si>
  <si>
    <t>61.6</t>
  </si>
  <si>
    <t>техническое  обслуживание устройств РЗА и ПА</t>
  </si>
  <si>
    <t>Такелажные работы по разгрузке оборудования</t>
  </si>
  <si>
    <t xml:space="preserve">Строительно-монтажные, пусконаладочные работы, поставка оборудования </t>
  </si>
  <si>
    <t>ПС 500/110/35кВ Тайшет. 
Расширение и реконструкция ПС</t>
  </si>
  <si>
    <t>67</t>
  </si>
  <si>
    <t>68</t>
  </si>
  <si>
    <t>69.1</t>
  </si>
  <si>
    <t>69.2</t>
  </si>
  <si>
    <t>70</t>
  </si>
  <si>
    <t>71</t>
  </si>
  <si>
    <t>72</t>
  </si>
  <si>
    <t>73.1</t>
  </si>
  <si>
    <t>73.2</t>
  </si>
  <si>
    <t>73.3</t>
  </si>
  <si>
    <t>74</t>
  </si>
  <si>
    <t>75</t>
  </si>
  <si>
    <t>76</t>
  </si>
  <si>
    <t>77</t>
  </si>
  <si>
    <t>77.2</t>
  </si>
  <si>
    <t>77.1.1</t>
  </si>
  <si>
    <t>77.1.2</t>
  </si>
  <si>
    <t>77.3</t>
  </si>
  <si>
    <t>77.4</t>
  </si>
  <si>
    <t>78</t>
  </si>
  <si>
    <t>79.1</t>
  </si>
  <si>
    <t>79.2</t>
  </si>
  <si>
    <t>80</t>
  </si>
  <si>
    <t>81</t>
  </si>
  <si>
    <t>82</t>
  </si>
  <si>
    <t>83</t>
  </si>
  <si>
    <t>84.1</t>
  </si>
  <si>
    <t>84.2</t>
  </si>
  <si>
    <t>84.3</t>
  </si>
  <si>
    <t>85.1</t>
  </si>
  <si>
    <t>85.2</t>
  </si>
  <si>
    <t>86</t>
  </si>
  <si>
    <t>87.1</t>
  </si>
  <si>
    <t>87.2</t>
  </si>
  <si>
    <t>87.3</t>
  </si>
  <si>
    <t>87.4</t>
  </si>
  <si>
    <t>87.5</t>
  </si>
  <si>
    <t>88</t>
  </si>
  <si>
    <t>89</t>
  </si>
  <si>
    <t>90</t>
  </si>
  <si>
    <t>91</t>
  </si>
  <si>
    <t>92</t>
  </si>
  <si>
    <t>93</t>
  </si>
  <si>
    <t>94</t>
  </si>
  <si>
    <t>95</t>
  </si>
  <si>
    <t>96.1</t>
  </si>
  <si>
    <t>96.2</t>
  </si>
  <si>
    <t>97</t>
  </si>
  <si>
    <t>98.1</t>
  </si>
  <si>
    <t>98.2</t>
  </si>
  <si>
    <t>98.3</t>
  </si>
  <si>
    <t>98.4</t>
  </si>
  <si>
    <t>98.5</t>
  </si>
  <si>
    <t>98.6</t>
  </si>
  <si>
    <t>98.7</t>
  </si>
  <si>
    <t>98.8</t>
  </si>
  <si>
    <t>98.9</t>
  </si>
  <si>
    <t>98.10</t>
  </si>
  <si>
    <t>98.11</t>
  </si>
  <si>
    <t>99</t>
  </si>
  <si>
    <t xml:space="preserve">ГПП-110/6 кВ Иркутского авиационного завода (ИАЗ)
г.Иркутск 
Реконструкция
</t>
  </si>
  <si>
    <t>101</t>
  </si>
  <si>
    <t>102.1</t>
  </si>
  <si>
    <t>102.2</t>
  </si>
  <si>
    <t>102.3</t>
  </si>
  <si>
    <t>103</t>
  </si>
  <si>
    <t>103.1</t>
  </si>
  <si>
    <t>103.2</t>
  </si>
  <si>
    <t>103.3</t>
  </si>
  <si>
    <t>103.4</t>
  </si>
  <si>
    <t>103.5</t>
  </si>
  <si>
    <t>103.6</t>
  </si>
  <si>
    <t>103.7</t>
  </si>
  <si>
    <t>103.8</t>
  </si>
  <si>
    <t>103.9</t>
  </si>
  <si>
    <t>103.10</t>
  </si>
  <si>
    <t>103.11</t>
  </si>
  <si>
    <t>103.12</t>
  </si>
  <si>
    <t>103.13</t>
  </si>
  <si>
    <t>103.14</t>
  </si>
  <si>
    <t>103.15</t>
  </si>
  <si>
    <t>104</t>
  </si>
  <si>
    <t>105</t>
  </si>
  <si>
    <t>106</t>
  </si>
  <si>
    <t xml:space="preserve">ОАО «РЖД»
107174, Москва, Новая Басманная ул., д. 2
Генеральный директор – председатель правления ОАО "РЖД" О.В. Белозёров
Генподрядчик АО «РЖДстрой»
105005, Москва, улица Казакова, 8, ст 6
Подрядчик АО «Форатек ЭТС»
620017, Свердловская область, город Екатеринбург, ул. Фронтовых бригад, дом 33
Генеральный директор Галыгин А.И. </t>
  </si>
  <si>
    <t>Выполнение строительно-монтажных и пусконаладочных работ по ТП Забайкальск на объекте: Комплексная реконструкция участка Карымская-Забайкальск Забайкальской ж.д. Электрификация участка Борзя-Забайкальск</t>
  </si>
  <si>
    <t xml:space="preserve">выполнение строительно-монтажных и пусконаладочных работ по ТП Забайкальск на объекте: </t>
  </si>
  <si>
    <t>ТП Забайкальск
Забайкальский край, Забайкальский район
Реконструкция</t>
  </si>
  <si>
    <t>107</t>
  </si>
  <si>
    <t>108</t>
  </si>
  <si>
    <t>109.1</t>
  </si>
  <si>
    <t>109.2</t>
  </si>
  <si>
    <t>109.3</t>
  </si>
  <si>
    <t>109.4</t>
  </si>
  <si>
    <t>110.1</t>
  </si>
  <si>
    <t>110.3</t>
  </si>
  <si>
    <t>110.2</t>
  </si>
  <si>
    <t>111</t>
  </si>
  <si>
    <t>111.1</t>
  </si>
  <si>
    <t>111.2</t>
  </si>
  <si>
    <t>111.3</t>
  </si>
  <si>
    <t>111.4</t>
  </si>
  <si>
    <t>112.1</t>
  </si>
  <si>
    <t>112.2</t>
  </si>
  <si>
    <t>112.3</t>
  </si>
  <si>
    <t>112.4</t>
  </si>
  <si>
    <t>113</t>
  </si>
  <si>
    <t>114</t>
  </si>
  <si>
    <t>114.1</t>
  </si>
  <si>
    <t>114.2</t>
  </si>
  <si>
    <t>114.3</t>
  </si>
  <si>
    <t>114.4</t>
  </si>
  <si>
    <t>114.5</t>
  </si>
  <si>
    <t>114.6</t>
  </si>
  <si>
    <t>114.7</t>
  </si>
  <si>
    <t>114.8</t>
  </si>
  <si>
    <t>114.9</t>
  </si>
  <si>
    <t>114.10</t>
  </si>
  <si>
    <t>114.11</t>
  </si>
  <si>
    <t>114.12</t>
  </si>
  <si>
    <t>114.13</t>
  </si>
  <si>
    <t>114.14</t>
  </si>
  <si>
    <t>114.15</t>
  </si>
  <si>
    <t>114.16</t>
  </si>
  <si>
    <t>114.17</t>
  </si>
  <si>
    <t>114.18</t>
  </si>
  <si>
    <t>114.19</t>
  </si>
  <si>
    <t>115</t>
  </si>
  <si>
    <t>115.1</t>
  </si>
  <si>
    <t>115.2</t>
  </si>
  <si>
    <t>115.3</t>
  </si>
  <si>
    <t>115.4</t>
  </si>
  <si>
    <t>115.5</t>
  </si>
  <si>
    <t>115.6</t>
  </si>
  <si>
    <t>115.7</t>
  </si>
  <si>
    <t>115.8</t>
  </si>
  <si>
    <t>115.9</t>
  </si>
  <si>
    <t>115.10</t>
  </si>
  <si>
    <t>115.11</t>
  </si>
  <si>
    <t>115.12</t>
  </si>
  <si>
    <t>115.13</t>
  </si>
  <si>
    <t>115.14</t>
  </si>
  <si>
    <t>115.15</t>
  </si>
  <si>
    <t>115.16</t>
  </si>
  <si>
    <t>115.17</t>
  </si>
  <si>
    <t>115.18</t>
  </si>
  <si>
    <t>115.19</t>
  </si>
  <si>
    <t>115.20</t>
  </si>
  <si>
    <t>115.21</t>
  </si>
  <si>
    <t>115.22</t>
  </si>
  <si>
    <t>115.23</t>
  </si>
  <si>
    <t>115.24</t>
  </si>
  <si>
    <t>115.25</t>
  </si>
  <si>
    <t>115.26</t>
  </si>
  <si>
    <t>115.27</t>
  </si>
  <si>
    <t>115.28</t>
  </si>
  <si>
    <t>115.29</t>
  </si>
  <si>
    <t>115.30</t>
  </si>
  <si>
    <t>115.31</t>
  </si>
  <si>
    <t>115.32</t>
  </si>
  <si>
    <t>115.33</t>
  </si>
  <si>
    <t>115.34</t>
  </si>
  <si>
    <t>115.35</t>
  </si>
  <si>
    <t>115.36</t>
  </si>
  <si>
    <t>115.37</t>
  </si>
  <si>
    <t>115.38</t>
  </si>
  <si>
    <t>115.39</t>
  </si>
  <si>
    <t>115.40</t>
  </si>
  <si>
    <t>115.41</t>
  </si>
  <si>
    <t>115.42</t>
  </si>
  <si>
    <t>115.43</t>
  </si>
  <si>
    <t>115.44</t>
  </si>
  <si>
    <t>115.45</t>
  </si>
  <si>
    <t>115.46</t>
  </si>
  <si>
    <t>115.47</t>
  </si>
  <si>
    <t>115.48</t>
  </si>
  <si>
    <t>115.49</t>
  </si>
  <si>
    <t>115.50</t>
  </si>
  <si>
    <t>115.51</t>
  </si>
  <si>
    <t>115.52</t>
  </si>
  <si>
    <t>115.53</t>
  </si>
  <si>
    <t>115.54</t>
  </si>
  <si>
    <t>115.55</t>
  </si>
  <si>
    <t>115.56</t>
  </si>
  <si>
    <t>115.57</t>
  </si>
  <si>
    <t>115.58</t>
  </si>
  <si>
    <t>115.59</t>
  </si>
  <si>
    <t>115.60</t>
  </si>
  <si>
    <t>115.61</t>
  </si>
  <si>
    <t>115.62</t>
  </si>
  <si>
    <t>115.63</t>
  </si>
  <si>
    <t>115.64</t>
  </si>
  <si>
    <t>115.65</t>
  </si>
  <si>
    <t>115.66</t>
  </si>
  <si>
    <t>115.67</t>
  </si>
  <si>
    <t>115.68</t>
  </si>
  <si>
    <t>115.69</t>
  </si>
  <si>
    <t>115.70</t>
  </si>
  <si>
    <t>115.71</t>
  </si>
  <si>
    <t>115.72</t>
  </si>
  <si>
    <t>115.73</t>
  </si>
  <si>
    <t>115.74</t>
  </si>
  <si>
    <t>115.75</t>
  </si>
  <si>
    <t>115.76</t>
  </si>
  <si>
    <t>115.77</t>
  </si>
  <si>
    <t>115.78</t>
  </si>
  <si>
    <t>115.79</t>
  </si>
  <si>
    <t>115.80</t>
  </si>
  <si>
    <t>115.81</t>
  </si>
  <si>
    <t>115.82</t>
  </si>
  <si>
    <t>115.83</t>
  </si>
  <si>
    <t>115.84</t>
  </si>
  <si>
    <t>115.85</t>
  </si>
  <si>
    <t>115.86</t>
  </si>
  <si>
    <t>115.87</t>
  </si>
  <si>
    <t>115.88</t>
  </si>
  <si>
    <t>115.89</t>
  </si>
  <si>
    <t>115.90</t>
  </si>
  <si>
    <t>115.91</t>
  </si>
  <si>
    <t>115.92</t>
  </si>
  <si>
    <t>115.93</t>
  </si>
  <si>
    <t>116</t>
  </si>
  <si>
    <t>117.1</t>
  </si>
  <si>
    <t>117.2</t>
  </si>
  <si>
    <t>118.1</t>
  </si>
  <si>
    <t>118.2</t>
  </si>
  <si>
    <t>118.3</t>
  </si>
  <si>
    <t>118.4</t>
  </si>
  <si>
    <t>118.5</t>
  </si>
  <si>
    <t>118.6</t>
  </si>
  <si>
    <t>118.7</t>
  </si>
  <si>
    <t>118.8</t>
  </si>
  <si>
    <t>118.9</t>
  </si>
  <si>
    <t>118.10</t>
  </si>
  <si>
    <t>118.11</t>
  </si>
  <si>
    <t>118.12</t>
  </si>
  <si>
    <t>118.13</t>
  </si>
  <si>
    <t>119.1</t>
  </si>
  <si>
    <t>119.2</t>
  </si>
  <si>
    <t>120</t>
  </si>
  <si>
    <t>121</t>
  </si>
  <si>
    <t>122</t>
  </si>
  <si>
    <t>123</t>
  </si>
  <si>
    <t>124</t>
  </si>
  <si>
    <t>125</t>
  </si>
  <si>
    <t>126</t>
  </si>
  <si>
    <t>127</t>
  </si>
  <si>
    <t>128</t>
  </si>
  <si>
    <t>132</t>
  </si>
  <si>
    <t>129.1</t>
  </si>
  <si>
    <t>129.2</t>
  </si>
  <si>
    <t>129.3</t>
  </si>
  <si>
    <t>129.4</t>
  </si>
  <si>
    <t>129.5</t>
  </si>
  <si>
    <t>129.6</t>
  </si>
  <si>
    <t>129.7</t>
  </si>
  <si>
    <t>129.8</t>
  </si>
  <si>
    <t>130.1</t>
  </si>
  <si>
    <t>130.2</t>
  </si>
  <si>
    <t>130.3</t>
  </si>
  <si>
    <t>131.1</t>
  </si>
  <si>
    <t>131.2</t>
  </si>
  <si>
    <t>131.3</t>
  </si>
  <si>
    <t>133</t>
  </si>
  <si>
    <t>СМР, наладочные работы. поставка оборудования п</t>
  </si>
  <si>
    <t>Работы по дегазации трансформаторного масла</t>
  </si>
  <si>
    <t xml:space="preserve">Поставка, монтаж и ПНР </t>
  </si>
  <si>
    <t>проектные работы</t>
  </si>
  <si>
    <t>Строительно-монтажные, наладочные работы</t>
  </si>
  <si>
    <t xml:space="preserve">Строительно-монтажные, пусконаладочные работы, поставка материалов и оборудования </t>
  </si>
  <si>
    <t>Строительно-монтажные и пусконаладочные работы ( замена трансформаторов тока 500кВ ТТ-500 1В-10 на газонаполненные типа ТОГП-500)</t>
  </si>
  <si>
    <t>Строительно-монтажные, пусконаладочные работы (замена МВ-220  МСВ-2/4 и МСВ-3/5 на элегазовые)</t>
  </si>
  <si>
    <t xml:space="preserve"> строительно-монтажные, пусконаладочные работы;</t>
  </si>
  <si>
    <t xml:space="preserve">Замена дефектного разъединителя 500 кВ ПС Тайшет.
</t>
  </si>
  <si>
    <t xml:space="preserve">ЭМР. Замена дефектного разъединителя 500 кВ </t>
  </si>
  <si>
    <t>На 05.2019 выполнения нет</t>
  </si>
  <si>
    <t xml:space="preserve">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ЮЭС Прошутинский А.Л.
Генподрядчик  ООО «ЕвроСибЭнерго-инжиниринг»
 664050,г. Иркутск, ул. Байкальская, д. 259
тел.: (3952) 794-683, факс: (3952) 794-546
Генеральный директор Погосбеков Д.Д.
</t>
  </si>
  <si>
    <t>ОАО «ФСК ЕЭС» 
117630, г. Москва, ул. Академика Челомея, 5А.    
Филиал ОАО «ФСК ЕЭС»- МЭС Сибири.
660099, Красноярский край, Красноярск, ул. Лебедевой, 117 Тел. (391) 265-95-00 
Генподрядчик: АО Стройтрансгаз
 123112, г. Москва, ул. Тестовская, д. 10 
Подрядчик: АО "Энергетические технологии"
664033, г. Иркутск, ул. Лермонтова, 130, оф. 110, Тел.: (3952) 423-523
Генеральный директор Черных О.Г.</t>
  </si>
  <si>
    <t>Электромонтажные и пусконаладочные работы, монтаж трансформаторного оборудования.</t>
  </si>
  <si>
    <t>Главная понизительная подстанция (ГПП) "Машзавод-2" 110/6/кВ 
АО "У-УАЗ" (Улан-Удэнский авиационный завод)
Строительство
Республика Бурятия, г. Улан-Удэ, ул. Хоринская 1</t>
  </si>
  <si>
    <t>АО "У-УАЗ" (Улан-Удэнский авиационный завод)
Республика Бурятия, г. Улан-Удэ, ул. Хоринская 1
Управляющий директор Л.Я. Белых</t>
  </si>
  <si>
    <t>Комплекс работ по «Общестроительным и монтажным работам при монтаже кабельной эстакады 220кВ для выпрямительного агрегата КВА-56 на КПП-4 ОАО «РУСАЛ Братск» филиал в г,Шелехов». (общестроительные работы,
работы по монтажу металлоконструкций кабельной эстакады 220кВ)</t>
  </si>
  <si>
    <t xml:space="preserve">общестроительные работы,
работы по монтажу металлоконструкций кабельной эстакады 220кВ,
</t>
  </si>
  <si>
    <t xml:space="preserve">Услуги по отбору проб и вьполнению анализов трансформаторного масла ячеек ТВА-11 -ТВА-15 КПП-1 на площадке строительства Богучанского алюминиевого завода 
</t>
  </si>
  <si>
    <t>Электромонтажные работа и монтаж электроосвещения, пусконаладочные работы. Склад смонтированных  анодов и огарков в осях 1…28.</t>
  </si>
  <si>
    <t xml:space="preserve">Склад глинозёма </t>
  </si>
  <si>
    <t xml:space="preserve">Хлорное  производство.
Профилактические испытания электрооборудования </t>
  </si>
  <si>
    <t>Электромонтажные и пусконаладочные  работы для реализации инвестиционного проекта: "Монтаж частотных преобразователей на электродвигателях станции перекачки уплотненного осадка"  ЦОСП ПВиИК</t>
  </si>
  <si>
    <t>Хлорное  производство.
Предпроектное обследование вторичных цепей ГПП-3, РП-26</t>
  </si>
  <si>
    <t>Электромонтажные работы в рамках проекта "Техническое перевооружение котла Е-75-40К ст.№16". Перенос кабельных трасс.</t>
  </si>
  <si>
    <t>Работы по монтажу монорельсов, металлоконструкций для грузоподъемных  механизмов для механизации, в рамках проекта: "Техническое перевооружение котла Е-75-40К ст.№16".</t>
  </si>
  <si>
    <t>Прокладка силового кабеля от ТП-73до привода насоса башни высокой концентрации;
Прокладка кабеля от ТП-56 до привода верхнего сепаратора котла на отм. +56.000</t>
  </si>
  <si>
    <t>Пусконаладочные работы по проверке и настройке релейной защиты агрегатов выпрямительных агрегатов: ВАКВ 25000/450 без трансформатора (Инв.№ 36201040017362), ВАКВ 32000/600 (Инв.№№ 362010400117079, 36201040017081, 36201040017083) в цехе энергоснабжения (ЦЭС) ХП.</t>
  </si>
  <si>
    <t xml:space="preserve">Перебазировка спецтехники для выполнения работ по перевозке трансформатора;
Перевозка трансформатора с ж/д тупика в яч.Т1 ГПП-3;
Монтажные и ПНР  трансформатора ТРДЦН 80000/110
</t>
  </si>
  <si>
    <t xml:space="preserve">Работы по прогрузке автоматических выключателей (в объеме 300 шт.) энергооборудования на щитах КИПиА на объектах Хлорного производства цехов №№2,3. </t>
  </si>
  <si>
    <t>Работы по профилактическим испытаниям электрооборудования производств филиала АО "Группа "Илим" в г. Братске.</t>
  </si>
  <si>
    <t>Воткинская ГЭС
Пермский край, г. Чайковский
Реконструкция</t>
  </si>
  <si>
    <t>Филиал ПАО "РусГидро" - "Воткинская ГЭС"
660017, Красноярский край, г. Красноярск, ул. Дубровинского, д. 43, к.1
617761 Пермский край,г. Чайковский
Подрядчик ООО «Камаэлектромонтаж»
94044, г. Санкт-Петербург, ул. Набережная Пироговская, д. 21, лит А, офис 54
Почтовый адрес: 617762, Пермский край, г. Чайковский, ул. Гагарина, 140
Директор А.Н. Ребров</t>
  </si>
  <si>
    <t xml:space="preserve"> 2011 по 2019 г.г.</t>
  </si>
  <si>
    <t xml:space="preserve">05.2019
</t>
  </si>
  <si>
    <t>9.9</t>
  </si>
  <si>
    <t>Выполнение строительно-монтажных и пусконаладочных работ по техническому перевооружению  оборудования ТНС № 9 с установкой частотного регулируемого привода  на сетевых насосах Д-315-71а на ТНС-9 с целью снижения затрат на покупную э/энергию.</t>
  </si>
  <si>
    <t>9-106/19 от 29.11.2019</t>
  </si>
  <si>
    <t>Насосная подмешивания № 9</t>
  </si>
  <si>
    <t>11.2019</t>
  </si>
  <si>
    <t>Ремонт электротехнического оборудования РП-3  на филиале ПАО "Иркутскэнерго" ТЭЦ-16</t>
  </si>
  <si>
    <t>Разработка проектной и рабочей  документации по объекту: «Реконструкция ПС 110 кВ Северная»</t>
  </si>
  <si>
    <t>04-СЭС/17-ПИР от 18.09.2017 доп.согл 1-5</t>
  </si>
  <si>
    <t xml:space="preserve">12-СЭС-2019-ОКС-м от  19.04.2019 </t>
  </si>
  <si>
    <t xml:space="preserve"> 27р-2019кл 
от 15.08.2019 доп.согл 1</t>
  </si>
  <si>
    <t>Замена КЛ-35 кВ до ПС Горводопровод, СПС, для нужд филиала ОАО «ИЭСК» «Северные электрические сети»,</t>
  </si>
  <si>
    <t>08.2019</t>
  </si>
  <si>
    <t>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</si>
  <si>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ПС 35/6 кВ "Горводопровод"
Ремонтные работы
г.Братск, Иркутская обл.</t>
  </si>
  <si>
    <t xml:space="preserve">05.2019 
</t>
  </si>
  <si>
    <t>24.4</t>
  </si>
  <si>
    <t>Строительно-монтажные, пусконаладочные работы по объекту: «Реконструкция ПС 220/110/35 Коршуниха с заменой АТ-1,2" (такелаж АТ)». (ПС «Коршуниха» инв. №9014040103), для нужд филиала ОАО «ИЭСК» Северные электриче-ские сети</t>
  </si>
  <si>
    <t>Строительно-монтажные, пусконаладочные работы по объекту: «Реконструкция ПС 220/110/35 Коршуниха с заменой АТ-1,2" (такелаж АТ)» (ПС «Коршуниха» инв. №9014040103), для нужд филиала ОАО «ИЭСК» Северные электрические сети</t>
  </si>
  <si>
    <t>40-СЭС-2019-ОКС-м от 23.09.2019 доп.согл 1</t>
  </si>
  <si>
    <t xml:space="preserve">70-СЭС-2019-ОКС-м от 25.11.2019 </t>
  </si>
  <si>
    <t>03.2020
( на 01.01.2020 выполнено 60%)</t>
  </si>
  <si>
    <t>24.5</t>
  </si>
  <si>
    <t>Строительно-монтажные и пусконаладочные работы по объекту: "Замена ВМ типа ВМТ на элегазовые ПC СЭС". 
("ПС 220/110/10 кВ "Заводская",
 ПС 220/110/10 кВ "Опорная")</t>
  </si>
  <si>
    <t>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</si>
  <si>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Строительно-монтажные, наладочные работы по объекту: «Оснащение новыми устройствами АЧР присоединений 110 кВ ЦКК-1, ЦКК-2,ЦКК-3, ЦКК-4, ЦКК-5 ПС-220 кВ «Опорная») (инв. №905040289д)</t>
  </si>
  <si>
    <t>48-СЭС-2019-ОКС-м от 02.09.2019 
ДС1-48-2019</t>
  </si>
  <si>
    <t xml:space="preserve">71-СЭС-2019-ОКС-ц от 26.11.2019 </t>
  </si>
  <si>
    <t>Строительно-монтажные, пусконаладочные работы по объекту "Строительство ВЛ 110 кВ Опорная-БЛПК Реконструкция ОРУ 110 на ПС Опорная, БЛПК " для нужд ОАО "ИЭСК" "СЭС"</t>
  </si>
  <si>
    <t>ПС 220/110/10 кВ "Опорная"
ПС 220/110/10 кВ БЛПК
Реконструкция
г. Братск, Иркутская обл.</t>
  </si>
  <si>
    <r>
      <t xml:space="preserve">01.2020 </t>
    </r>
    <r>
      <rPr>
        <sz val="8"/>
        <color theme="4" tint="-0.249977111117893"/>
        <rFont val="Times New Roman"/>
        <family val="1"/>
        <charset val="204"/>
      </rPr>
      <t>выполнено на 31.12.2019 0%</t>
    </r>
  </si>
  <si>
    <r>
      <t xml:space="preserve">30.06.2020 Работы ведутся, </t>
    </r>
    <r>
      <rPr>
        <sz val="8"/>
        <color theme="4" tint="-0.249977111117893"/>
        <rFont val="Times New Roman"/>
        <family val="1"/>
        <charset val="204"/>
      </rPr>
      <t>выполнено на 31.12.2019 3%</t>
    </r>
  </si>
  <si>
    <t>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Центральные электрические сети
665709, Иркутская область,  Ангарск, 2-я улица Хмельницкого, 22, 665821. тел. 8(3955)502740
Директор филиала  Щёкин Александр Игоревич</t>
  </si>
  <si>
    <t xml:space="preserve">ПС500/220/110/35/10/6 "Иркутская"
Реконструкция 
г. Ангарск, Иркутская область </t>
  </si>
  <si>
    <t xml:space="preserve">05-204.031/2019 от 22.03.2019 </t>
  </si>
  <si>
    <t xml:space="preserve">34-204.031/2019 от 17.07.2019 </t>
  </si>
  <si>
    <t xml:space="preserve">29-204.031/2019 от 17.07.2019 </t>
  </si>
  <si>
    <t xml:space="preserve">28-204.031/2019 от 17.07.2019 </t>
  </si>
  <si>
    <t xml:space="preserve">59-204.031/2019 от 09.10.2019 </t>
  </si>
  <si>
    <t>25 от 17.10.2019</t>
  </si>
  <si>
    <t>Выполнение СМР, ПНР по объектам: "ПС-500/220/110/35/10/6 "Иркутская" Замена МВ-220 АТ-5 на элегазовые" и "ПС-500/220/110/35/10/6 "Иркутская" Замена МВ-220 ШСВ-1 на элегазовые" в объёме реконструкции объектов:
- "ГПП-1 ОРУ-220 КВ ЯЧЕЙКА ШСВ-1", 
- "ГПП-1 ОРУ-220 ЯЧЕЙКА ЛЭП-210 ДРАГМЕТАЛЛ" (инв.№ 700Б1493\1),
-"ОРУ-220 КВ ГПП-1 ЯЧЕЙКА АТ-5"</t>
  </si>
  <si>
    <t>СМР и ПНР по объекту: 
"ПС-500/220/110/35/10/6 "Иркутская". Замена МВ 110 Бл 5, МВ-110 Бл 6 на элегазовые", расположенный по адресу Иркутская область, г. Ангарск, в составе объектов основных средств:
- ГПП-2 ОРУ-110 ЯЧ.МВ-110 БЛ-5 (инв. № 700Б0331\2), 
- ГПП-2 ОРУ-110 ЯЧ. МВ-110 ЛЭП БЛ-6 (инв. № 700Б0314\1).</t>
  </si>
  <si>
    <t>СМР и ПНР на "ПС 500 кВ Иркутская Замена масляного выключателя 220 кВ ВЛ № 216 на элегазовый", расположенный по адресу Иркутская область, г. Ангарск, в составе объектов основных средств:
- ГПП-1 ЛЭП-216 УСТРОЙСТВА РЭА (инв. № 700Б1669\1), 
- ГПП-1 ОРУ-220 КВ ЯЧЕЙКА ЛЭП-216 ДРАГМЕТАЛЛ (инв. № 700Б001580),
- ГПП-1 ЛЭП-216 УСТ-ВА РЗА (инв. № 700Б1580\1),</t>
  </si>
  <si>
    <t>СМР и ПНР на "ПС 500 кВ Иркутская. Замена масляного выключателя 220 кВ ВЛ № 209 на элегазовый", расположенный по адресу Иркутская область, г. Ангарск, в составе объектов основных средств:
- ОРУ-220 КВ ГПП-1 ЯЧЕЙКА ЛЭП-209 (инв. № 700Б1493\2), 
- ГПП-1 ОРУ-220 ЯЧЕЙКА ЛЭП-209 ДРАГМЕТАЛЛ (инв. № 700Б001493)
- ГПП-1 ЛЭП-209 УСТ ВА РЗА (инв.№ 700Б0053\6).</t>
  </si>
  <si>
    <t>СМР и ПНР по объекту: ПС 500кВ Иркутская. Замена масляного выключателя 220кВ ШСВ-2 на элегазовый", расположенный по адресу Иркутская область, г. Ангарск, в составе объектов основных средств:
- «ГПП-1 ОРУ-220 КВ ЯЧЕЙКА ШСВ-2» (инв.№ 700Б001487)</t>
  </si>
  <si>
    <t>Ремонт вводной ячейки 0,4 кВ ТСН-2 ЩСН 0,4 кВ БСК-2 ГПП-1 ОРУ 110 кВ СК-2 ТСН-2 (инв. № 700Б000032)</t>
  </si>
  <si>
    <t>10.2019</t>
  </si>
  <si>
    <t>12.2020
на 01.03.2020 50%</t>
  </si>
  <si>
    <t xml:space="preserve">12.2019
</t>
  </si>
  <si>
    <t>30.06.2020 
на 01.01.2020 87%</t>
  </si>
  <si>
    <t xml:space="preserve">07.2019
</t>
  </si>
  <si>
    <r>
      <t xml:space="preserve">09.2019
</t>
    </r>
    <r>
      <rPr>
        <sz val="9"/>
        <color theme="4" tint="-0.499984740745262"/>
        <rFont val="Times New Roman"/>
        <family val="1"/>
        <charset val="204"/>
      </rPr>
      <t>на 01.01.2020
 13%</t>
    </r>
  </si>
  <si>
    <t xml:space="preserve"> 1-ЮЭС-2018(ВЛПК) от 22.08.2018 доп.согл 1</t>
  </si>
  <si>
    <t xml:space="preserve">Разработка РД, выполнение геодезических, геологических изысканий по объекту: "Реконструкция участка ЛЭП 110 кВ ПС 220 кВ Правобережная – ПС 110 кВ Кировская АБ от опоры №4 до ПС 110 кВ Кировская", инв. № 5000130042" </t>
  </si>
  <si>
    <t xml:space="preserve">Разработка РД, выполнение геодезических, геологических изысканий </t>
  </si>
  <si>
    <t>39.3</t>
  </si>
  <si>
    <t>44.3</t>
  </si>
  <si>
    <t xml:space="preserve">1-ЮЭС-2018(РКК-Ц) от 11.02.2019 </t>
  </si>
  <si>
    <t xml:space="preserve">Разработка проектной и рабочей документации, инженерных изысканий, выполнение землеустроительных работ, получение разрешение на строительство по титулу:
"ПС 110/10/6 кВ РКК-2 с КЛ-110 кВ Кировская - ПП-3 - РКК-2" по объекту: "Вынос кабельных линий 6 кВ и кабельных линий 110 кВ из зоны застройки ПС 110/10/6 кВ "Цесовская". </t>
  </si>
  <si>
    <t>Разработка проектной и рабочей документации, инженерных изысканий, выполнение землеустроительных работ, получение разрешение на строительство</t>
  </si>
  <si>
    <t>02.2019</t>
  </si>
  <si>
    <t xml:space="preserve">02.2019 </t>
  </si>
  <si>
    <t>11.2019
на 01.01.2020 выполнено 11%</t>
  </si>
  <si>
    <t>54.5</t>
  </si>
  <si>
    <t xml:space="preserve"> 4 от 11.04.2019 доп.согл 1 </t>
  </si>
  <si>
    <t>Капитальный ремонт трансформатора Т-5 с заменой шкафа обдува ПС "Шелехово" 220/110/10кВ</t>
  </si>
  <si>
    <t>Капитальный ремонт АТ-1 ПС "Ново-Ленино" 220/110/6 кВ</t>
  </si>
  <si>
    <t xml:space="preserve">3 от 11.04.2019 </t>
  </si>
  <si>
    <t xml:space="preserve">Капитальный ремонт АТ-1 </t>
  </si>
  <si>
    <t>ПС "Ново-Ленино" 220/110/6 кВ
ОРУ 220 кВ Капитальный ремонт АТ-1
г. Иркутск</t>
  </si>
  <si>
    <t>ПС 35/10 кВ Высота с ВЛ 35 кВ
Разработка проектной и рабочей документации</t>
  </si>
  <si>
    <t>ПС 35/10 кВ Введенщина 
Разработка рабочей документации</t>
  </si>
  <si>
    <t xml:space="preserve">Разработка проектной и рабочуей документации, инженерные изыскания, негосударственная экспертиза проектной документации и инженерных изысканий по титулу: «ПС 35/10 кВ Высота с ВЛ 35 кВ» </t>
  </si>
  <si>
    <t>1-ЮЭС-2019(Высота) от 02.04.2019 доп.согл1</t>
  </si>
  <si>
    <t>Разработка проектной и рабочуей документации, инженерные изыскания, негосударственная экспертиза</t>
  </si>
  <si>
    <t>12.2019 на 01.01.2020 выпрлнено 24%</t>
  </si>
  <si>
    <t>Разработка проектной и рабочуей документации, инженерные изыскания, провести негосударственную экспертизу проектной документации и инженерных изысканий по титулу: «ПС 35/10 кВ Индустриальная с ВЛ 35 кВ»</t>
  </si>
  <si>
    <t>1-ЮЭС-2019(Индустриальная) от 19.04.2019</t>
  </si>
  <si>
    <t>ПС 35/10 кВ Индустриальная с ВЛ 35 кВ
Разработка проектной и рабочей документации</t>
  </si>
  <si>
    <t>04.2020</t>
  </si>
  <si>
    <t>1-ЮЭС-2019 (Дачная-АН) 
от 13.06.19</t>
  </si>
  <si>
    <t xml:space="preserve">Осуществление авторского надзора за строительством объекта "ПС 110/35/10 кВ Дачная" </t>
  </si>
  <si>
    <t>40.1</t>
  </si>
  <si>
    <t>06.2020 выполнено на 01.01.2020 19%</t>
  </si>
  <si>
    <t>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Южные электрические сети
664056, г. Иркутск, ул. Безбокова, 38
Тел./факс.: (3952) 793-203
Директор филиала ЮЭС Прошутинский А.Л.</t>
  </si>
  <si>
    <t>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665821. тел. 8(3955)502740
Директор филиала  Щёкин Александр Игоревич</t>
  </si>
  <si>
    <t>33.7</t>
  </si>
  <si>
    <t>33.8</t>
  </si>
  <si>
    <t>33.9</t>
  </si>
  <si>
    <t>33.10</t>
  </si>
  <si>
    <t>33.11</t>
  </si>
  <si>
    <t>33.12</t>
  </si>
  <si>
    <t xml:space="preserve">Корректировка проектной документации, повторное прохождение негосударственной экспертизы по титулу: «ПС 35 кВ Введенщина» </t>
  </si>
  <si>
    <t xml:space="preserve">2-ЮЭС-2019(Введенщина) от 10.10.2019 </t>
  </si>
  <si>
    <t xml:space="preserve">09.2018
на 01.01.2020
59%
</t>
  </si>
  <si>
    <t xml:space="preserve">99/ЗЭС от 10.04.2019 </t>
  </si>
  <si>
    <t xml:space="preserve">Оказание услуг по техническому обслуживанию устройств РЗА ВЛ 110-500 кВ на ПС Тайшет, устройств РЗА и ПА оборудования 500 кВ на ПС Тайшет и ПС Озерная. </t>
  </si>
  <si>
    <t>62.1</t>
  </si>
  <si>
    <t>62.2</t>
  </si>
  <si>
    <t>61.7</t>
  </si>
  <si>
    <t>61.8</t>
  </si>
  <si>
    <t>61.9</t>
  </si>
  <si>
    <t>ОАО «Иркутская электросетевая компания»
664033, г. Иркутск, ул. Лермонтова 257,Тел: (3952) 792-459 Факс: (3952) 792-461
Генеральный директор Новиков Е.А.
Филиал Западные электрические сети 
665253 г.Тулун, пер.Энергетиков 6. 
Директор Коваленко Э.А.</t>
  </si>
  <si>
    <t>142/ЗЭС от 21.05.2019</t>
  </si>
  <si>
    <t>176/ЗЭС от 11.07.2019</t>
  </si>
  <si>
    <t>187/ЗЭС-2019 от 30.07.2019 доп.согл 1</t>
  </si>
  <si>
    <t>Ремонт противопожарных стен на ОРУ 500 кВ ПС 500 Озерная инв. №8000261565</t>
  </si>
  <si>
    <t>Ремонт (разборка) противопожарной  стены на ОРУ 500 кВ ПС 500 Озерная инв. №8000261565</t>
  </si>
  <si>
    <t>Строительно-монтажные и пуско-наладочные работы по объекту: " Замена высоковольтных вводов 500 кВ автотрансформатора АТ-3, типа ЕТА 550/1250/1675 на вводы ГКТ III -60/550/1250 01 на ПС 500 кВ Озерная, инв. №8000261576"</t>
  </si>
  <si>
    <t>05.2019</t>
  </si>
  <si>
    <t>12.2020
(выполнено на 01.2020 96%
41 385 тыс.руб)</t>
  </si>
  <si>
    <t>43/15 от 01.06.2015</t>
  </si>
  <si>
    <t>63.3</t>
  </si>
  <si>
    <t>15/19 от 27.02.2019 доп.согл 1-2</t>
  </si>
  <si>
    <t xml:space="preserve">СМР, ПНР, поставка оборудования по объекту "Строительство ПС 500/220/35 кВ Озерная 2 пусковой комплекс". </t>
  </si>
  <si>
    <r>
      <t xml:space="preserve">06.2020 </t>
    </r>
    <r>
      <rPr>
        <sz val="8"/>
        <color theme="4" tint="-0.499984740745262"/>
        <rFont val="Times New Roman"/>
        <family val="1"/>
        <charset val="204"/>
      </rPr>
      <t>выполнено на 01.01.2020 70% 
112 163 тыс.руб</t>
    </r>
  </si>
  <si>
    <t>ПС 110 кВ Новая Лисиха с ВЛ 110 кВ
Строительство ПС</t>
  </si>
  <si>
    <t>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Директор филиала Ковалев П.В.
Генподрядчик  ООО «ЕвроСибЭнерго-инжиниринг»
 664050,г. Иркутск, ул. Байкальская, д. 259
тел.: (3952) 794-683, факс: (3952) 794-546
Генеральный директор Борисычев А.В.</t>
  </si>
  <si>
    <t xml:space="preserve">60/19 от 28.08.2019 </t>
  </si>
  <si>
    <t>Выполнение комплекса работ для строительства объекта "ПС 110 кВ Новая Лисиха с ВЛ 110 кВ" (СМР, ПНР, поставка оборудования)</t>
  </si>
  <si>
    <t>06.2020
выполнено на 01.01.2020 66% 
31 487 тыс.руб.</t>
  </si>
  <si>
    <r>
      <rPr>
        <sz val="9"/>
        <color rgb="FFC00000"/>
        <rFont val="Times New Roman"/>
        <family val="1"/>
        <charset val="204"/>
      </rPr>
      <t>10.2019</t>
    </r>
    <r>
      <rPr>
        <sz val="9"/>
        <color rgb="FF000000"/>
        <rFont val="Times New Roman"/>
        <family val="1"/>
        <charset val="204"/>
      </rPr>
      <t xml:space="preserve">
</t>
    </r>
  </si>
  <si>
    <t>BGC447 от 12.11.2018 доп.согл 1-3</t>
  </si>
  <si>
    <t xml:space="preserve">Выполнение строительно-монтажных работ по монтажу системы архитектурного освещения левобережной части Богучанской ГЭС. </t>
  </si>
  <si>
    <t xml:space="preserve">Архитектурное освещение левобережной части Богучанской ГЭС </t>
  </si>
  <si>
    <t xml:space="preserve">Блочные трансформаторы (T7, Т7, Т9) и автотрансформаторы (lAT, 2АТ) Богучанской ГЭС. 
</t>
  </si>
  <si>
    <t>9648-18-ПЭГ от 24.10.2018 доп.согл1-2</t>
  </si>
  <si>
    <t xml:space="preserve">Оснащение высоковольтных вводов блочных трансформаторов (Т7, Т8, Т9) и автотрансформаторов (1АТ, 2АТ) Богучанской ГЭС устройствами контроля изоляции вводов 220 кВ (КИВ-220). </t>
  </si>
  <si>
    <t>06.2019 
(на 01.12.2019-85%) 75608 тыс.руб</t>
  </si>
  <si>
    <t xml:space="preserve">05.2019 
</t>
  </si>
  <si>
    <t>06.2020
выполнено на 12.2019 99,5%
614429 тыс.руб</t>
  </si>
  <si>
    <t>83.1</t>
  </si>
  <si>
    <t>83.2</t>
  </si>
  <si>
    <t xml:space="preserve">ПС 220кВ Таксимо 
Республика Бурятия, п. Таксимо </t>
  </si>
  <si>
    <t>9-10/2019 от 19.08.2019 доп.согл 1</t>
  </si>
  <si>
    <t>СМР, ПНР на объекте: "ПС 220кВ Таксимо. Установка устройств связи для обеспечения работоспособности устройств релейной защиты ячеек 220 кВ при подключении ВЛ 220 кВ Таксимо - Мамакан I и II цепь."</t>
  </si>
  <si>
    <t xml:space="preserve">Сроительно-монтажные и пусконаладочные работы по титулу:
«ПС 220 кВ Мамакан. Установка устройств связи для обеспечения работоспособности устройств релейной защиты ячеек 220кВ при подключении ВЛ 220кВ Таксимо – Мамакан I и II цепь».
</t>
  </si>
  <si>
    <t xml:space="preserve"> ПС 220 кВ «Мамакан» 
ВЛ Таксимо-Мамакан </t>
  </si>
  <si>
    <t xml:space="preserve"> - Устройство средства связи для РЗА на ПС Мамакан (РД 2388-5-СС);
 - Монтаж провода 3хАС300/39 и грозотроса 1х11.0-МЗ от сущ.опоры №589А до ПС Мамакан протяженностью 67,5 м (РД 2388-5-ЭМР).  
</t>
  </si>
  <si>
    <t xml:space="preserve">20-10/2019 от 14.10.2019 </t>
  </si>
  <si>
    <t xml:space="preserve">11.2019 выполнено на 12.2019 0%
</t>
  </si>
  <si>
    <t>11.2400.7865.19 от 19.11.2019</t>
  </si>
  <si>
    <t xml:space="preserve"> Вертикальная планировка действующей части ПС 110/IОкВ «Юбилейная»</t>
  </si>
  <si>
    <t>112019</t>
  </si>
  <si>
    <t xml:space="preserve">09.2019
</t>
  </si>
  <si>
    <t>86.1</t>
  </si>
  <si>
    <t>ПАО «МРСК Сибири»
660021, Красноярский край, г. Красноярск, 
ул. Бограда, 144а;
Подрядчик ООО «Камаэлектромонтаж»
94044, г. Санкт-Петербург, ул. Набережная Пироговская, д. 21, лит А, офис 54
Почтовый адрес: 617762, Пермский край, г. Чайковский, ул. Гагарина, 140
Директор А.Н. Ребров</t>
  </si>
  <si>
    <t xml:space="preserve">10 от 03.06.2019 </t>
  </si>
  <si>
    <t>Поставка оборудования и пусконаладочные работы в рамках реализации проекта по реконструкции ПС №54 Академгородок с установкой защиты от дуговых замыканий для нужд филиала ПАО "МРСК Сибири" - "Красноярскэнерго"</t>
  </si>
  <si>
    <t>85.3</t>
  </si>
  <si>
    <t>Сроительно-монтажные и пусконаладочные работы по титулу "Модернизация ПС 110/10 кВ №33 "Молодежная" организация элементов цифровой сети г. Красноярск" для нужд филиала ПАО "МРСК Сибири"- "Красноярскэнерго".</t>
  </si>
  <si>
    <t xml:space="preserve">11.2400.6138.19 от 16.08.2019 </t>
  </si>
  <si>
    <t>446С001С364 от 13.05.2019</t>
  </si>
  <si>
    <t>Работы в рамках КП 17-С247 "Монтаж оборудования ГПП, КПП-1", код ИСР 170203 "Сооружение КПП-1", код ИСР 170204 "Оборудование КПП-1", код ИСР 170404 "Оборудование ГПП".</t>
  </si>
  <si>
    <t>10.2020 
на 01.01.2020 выполнено 24%</t>
  </si>
  <si>
    <t>109.3.1</t>
  </si>
  <si>
    <t>109.3.2</t>
  </si>
  <si>
    <t>Тайшетский Алюминиевый Завод  
Закрытое распределительное устройство-ЗРУ 220 кВ, Кремниевая преобразовательная подстанция (КПП-1), «Оборудование ЗРУ 220кВ»,  «Сооружение ЗРУ 220кв», «Сооружение КПП-1»
Иркутская область, Тайшетский район, село Старый Акульшет, территория Промплощадки Тайшетского Алюминиевого завода</t>
  </si>
  <si>
    <t xml:space="preserve">446С001С398 от 05.09.2019 </t>
  </si>
  <si>
    <t>Работы в рамках КП № 21-C210 «Монтаж электротехнического оборудования ЗРУ 220 кВ», код ИСР 170103 «Оборудование ЗРУ 220кВ», код ИСР 170102 «Сооружение ЗРУ 220кв», код ИСР 170203 «Сооружение КПП-1».</t>
  </si>
  <si>
    <t>10.2020 
на 01.01.2020 выполнено 0,1%</t>
  </si>
  <si>
    <t>1 от 18.06.2018</t>
  </si>
  <si>
    <t>Работы по корректировке Проектной и Рабочей документации с прохождением негосударственной экспертизы проекта, СМР и ПНР в соответствии с откорректированной проектной документацией по титулу "Спортивно-оздоровительный комплекс" ЗАО "Ванкорнефть" 1 этап ВЛ 35 кВ "Отпайка на ПС "Спортивно-оздоровительный комплекс", ПС 35/10 кВ "Спортивно-оздоровительный комплекс" (1- 4очереди)".</t>
  </si>
  <si>
    <t>Спортивно-оздоровительный комплекс" ЗАО "Ванкорнефть" 1 этап ВЛ 35 кВ "Отпайка на ПС "Спортивно-оздоровительный комплекс", ПС 35/10 кВ "Спортивно-оздоровительный комплекс" (1- 4очереди)
Красноярский край, Левый берег</t>
  </si>
  <si>
    <t xml:space="preserve"> 0128-КС-КС ПИР СМР-2019-СМГЭС от 15.08.2019 </t>
  </si>
  <si>
    <t>Общество с ограниченной ответственностью «Малые ГЭС Ставрополья и Карачаево-Черкессии» (ООО «МГЭС Ставрополья и КЧР») в лице АО "УК ГидроОГК" 
Место нахождения: 125362, г. Москва, Строительный проезд, д. 7а, корпус 5, 
офис этаж 2 комната 4
Почтовый адрес: Ставропольский край, г. Пятигорск, ул. Подстанционная, д. 18
Генеральный директор АО "УК ГидроОГК" 
Н.И. Карпухин</t>
  </si>
  <si>
    <t>09.2020 
Выполнение на 01.01.2020 14% 
(156 841 тыс.руб)</t>
  </si>
  <si>
    <t>115.83.1</t>
  </si>
  <si>
    <t>Электромонтажные работы Скруббер для реализации проекта «Техническое перевооружение отбелки (КЩО)» «Строительство новой кислородной станции» филиала АО «Группа Илим» в г.Усть-Илимске</t>
  </si>
  <si>
    <t>010-655-19  от 22.04.2019</t>
  </si>
  <si>
    <t>010-1161-19 от 12.07.2019</t>
  </si>
  <si>
    <t xml:space="preserve">Профилактические испытания электрооборудования на объектах Хлорного производства Филиала АО "Группа "Илим" в г. Братске. </t>
  </si>
  <si>
    <t>Электромонтажные и пусконаладочные работы по проекту "Модернизация системы очистки дымовых газов ИРП №4, ИРП №5, ИРП №6" филиала АО "Группа "Илим" в г. Братске</t>
  </si>
  <si>
    <t>Реконструкция оборудования 1 и 2 секции распредустройства 6 кВ РП-2</t>
  </si>
  <si>
    <t xml:space="preserve">Проведение испытаний автоматических выключателей на щитах КИПиА Хлорного производства в цехах № 1, 2, 3, 4, 5 т цехе рассолопромысла. </t>
  </si>
  <si>
    <t xml:space="preserve">Проведение испытаний и измерений  электрооборудования на ПХЦ и ПРиЭ Филиала АО "Группа "Илим" в г. Братске. </t>
  </si>
  <si>
    <t>010-1218-19 от 29.07.2019</t>
  </si>
  <si>
    <t>010-1087-19 от 12.07.2019</t>
  </si>
  <si>
    <t>010-1874-19/БФ-6/19 от 15.11.2019</t>
  </si>
  <si>
    <t xml:space="preserve">Электрооборудование на ПХЦ и ПРиЭ </t>
  </si>
  <si>
    <t>Модернизация системы очистки дымовых газов ИРП №4, ИРП №5, ИРП №6</t>
  </si>
  <si>
    <t xml:space="preserve">010-289-19 от 20.02.2019 </t>
  </si>
  <si>
    <t>06.2020 на 01.01.2020 выполнено 12%</t>
  </si>
  <si>
    <t xml:space="preserve">Электромонтажные и пусконаладочные работы по реконструкции оборудования 1 и 2 секции РУ-6 кВ РП-2 в рамках реализации инвестиционного проекта "Реконструкция РП-2" ВПЦ ПК. </t>
  </si>
  <si>
    <t xml:space="preserve">Электромонтажные и пусконаладочные работы по реконструкции оборудования 1 и 2 секции РУ-6 кВ РП-2 в рамках реализации инвестиционного проекта "Реконструкция РП-2" Производство картона ВПЦ  филиала АО "Группа "Илим" в г. Братске. </t>
  </si>
  <si>
    <t>88.1</t>
  </si>
  <si>
    <t>ОПУ (об-е РЗА, связи,АСУТП, АИССКУЭ, СОПТ, ЩСН КТСО), ЗРУ, ОРУ-35 (трансформаторы напряжения, разъеденители, шинные опоры,, установка 2-х трансформаторов 35/6 кВ 16 МВА, уст-ка об-я ОРУ</t>
  </si>
  <si>
    <t>Строительство ВЛ-35 кВ, ПС 35/6 кВ "Боково", расположенного по адресу: ж/р Боково, Ленинский район г. Иркутска Иркутской области</t>
  </si>
  <si>
    <t xml:space="preserve">ПС35/6 кВ "Боково
Строительство ВЛ-35 кВ, ПС 35/6 кВ «Боково» 
г. Иркутск,  Иркутской обл., жилой район Боково, Ленинский район </t>
  </si>
  <si>
    <t xml:space="preserve">ОК-11/19 от 26.03.2019 </t>
  </si>
  <si>
    <t>03.2020</t>
  </si>
  <si>
    <t>ЕП-210/19 от 06.05.2019 доп.согл 1</t>
  </si>
  <si>
    <t>Осуществление авторского надзора за строительством по объекту: "Строительство ВЛ 35 кВ, ПС 35/6 кВ Боково" в Ленинском районе п. Боково Иркутской области</t>
  </si>
  <si>
    <t xml:space="preserve">ЕП-387/19 от 25.11.2019 </t>
  </si>
  <si>
    <t>Осуществление АН по объекту: «Строительство ВЛ 35 кВ, ПС 35/6 кВ Боково»</t>
  </si>
  <si>
    <t>98.12</t>
  </si>
  <si>
    <t xml:space="preserve">ЕП-325/19 от 21.08.2019 </t>
  </si>
  <si>
    <t>Проектные работы и инженерные изыскания для выполнения прокола через электрифицированную железную дорогу для строительства участка кабельной линий напряжением 10 кВ</t>
  </si>
  <si>
    <t>88.2</t>
  </si>
  <si>
    <t>88.3</t>
  </si>
  <si>
    <r>
      <t xml:space="preserve">2020
</t>
    </r>
    <r>
      <rPr>
        <sz val="9"/>
        <color theme="4" tint="-0.249977111117893"/>
        <rFont val="Times New Roman"/>
        <family val="1"/>
        <charset val="204"/>
      </rPr>
      <t>на 01.01.2020 85% (70437 тыс.руб)</t>
    </r>
  </si>
  <si>
    <r>
      <t xml:space="preserve">10.11.2019 </t>
    </r>
    <r>
      <rPr>
        <sz val="8"/>
        <color theme="4" tint="-0.249977111117893"/>
        <rFont val="Times New Roman"/>
        <family val="1"/>
        <charset val="204"/>
      </rPr>
      <t xml:space="preserve">будет продление на 2020г.;
</t>
    </r>
    <r>
      <rPr>
        <sz val="9"/>
        <color theme="4" tint="-0.249977111117893"/>
        <rFont val="Times New Roman"/>
        <family val="1"/>
        <charset val="204"/>
      </rPr>
      <t xml:space="preserve"> </t>
    </r>
    <r>
      <rPr>
        <sz val="8"/>
        <color theme="4" tint="-0.249977111117893"/>
        <rFont val="Times New Roman"/>
        <family val="1"/>
        <charset val="204"/>
      </rPr>
      <t>на 01.01.2020 выполнено 15% (6773 т.руб)</t>
    </r>
  </si>
  <si>
    <t>80.1</t>
  </si>
  <si>
    <t>Заказчик - «Общество с ограниченной ответственностью «Второй Ветропарк ФРВ» (ООО «Второй Ветропарк ФРВ»;
Генподрядчик - ЗАО «ГК «Электрощит» ТМ Самара».
Подрядчик: ООО "СК "Регионспецмонтаж" (ООО "СК "РСМ") 
344018, г. Ростов-на-Дону, пр.Буденновский, д. 80, офис 507  Тел: 8(863)-268-93-86  
Управляющий Прохоров М.А.</t>
  </si>
  <si>
    <t>Подстанция номинальным напряжением 110/35/0,4 кВ для присоединения объекта «Каменско-Красносулинская ВЭС – Южная площадка» (Сулинская ВЭС) к электрическим сетям 
ПС 110/35/0,4 кВ Сулинская ВЭС
Ростовская обл.</t>
  </si>
  <si>
    <t>Пусконаладочные работы по объекту: «Подстанция номинальным напряжением 110/35/0,4 кВ для присоединения объекта «Каменско-Красносулинская ВЭС – Южная площадка» (Сулинская ВЭС) к электрическим сетям»</t>
  </si>
  <si>
    <t>19-2019/ОНСО/БМУ от 17.06.2019</t>
  </si>
  <si>
    <t>Поставка материалов, об-я, СМР. ПНР. Сдача в эксплуатацию</t>
  </si>
  <si>
    <t xml:space="preserve">Общество с ограниченной ответственностью «Байкальская горная компания» (ООО «БГК»)
674153, Забайкальский край, Каларский р-он, пос. Удокан, ул. Фабричная, дом 1.
Генеральный директор Г.С. Миронов
</t>
  </si>
  <si>
    <t>Выполнение комплекса работ на условиях "под ключ" объекта строительства: "ПС 220/35/10 кВ "Удоканский ГМК" I этап"</t>
  </si>
  <si>
    <t xml:space="preserve">БГК-19-70 от 03.04.2019  </t>
  </si>
  <si>
    <t xml:space="preserve">Временные ВЛЗ 10 кВ №1, №2, №3
Забайкальский край, Каларский район.
п. Новая Чара – п. Удокан.
</t>
  </si>
  <si>
    <t xml:space="preserve">БГК-19-313 от 14.10.2019 </t>
  </si>
  <si>
    <t>Разработка рабочей документации, сроительно-монтажные работы и сдача в эксплуатацию объекта (на условиях "под ключ"):  временные внутриплощадочные ВЛЗ 10 кВ №1, №2, №3</t>
  </si>
  <si>
    <t>2020</t>
  </si>
  <si>
    <t>ПС 500/220/110/10 кВ Тулун
 Иркутская обл.</t>
  </si>
  <si>
    <t xml:space="preserve"> 41Д-70П-3012 от 17.01.2019 </t>
  </si>
  <si>
    <t xml:space="preserve">11 от 07.06.2019 </t>
  </si>
  <si>
    <t>Разгрузка реактора УШР-500 кВ на территории ПС 500 кВ "Тулун"</t>
  </si>
  <si>
    <t>Разгрузка реакторов УШР-500 кВ в количестве 2 шт. при одновременной поставке их на ПС 500 кВ "Тулун"</t>
  </si>
  <si>
    <r>
      <t xml:space="preserve">ОАО «Иркутская электросетевая компания»
664033, г. Иркутск, ул. Лермонтова 257,Тел: (3952) 792-459 Факс: (3952) 792-461
Филиал Западные электрические сети 
665253 г.Тулун, пер.Энергетиков 6. 
</t>
    </r>
    <r>
      <rPr>
        <b/>
        <sz val="9"/>
        <color theme="4" tint="-0.249977111117893"/>
        <rFont val="Times New Roman"/>
        <family val="1"/>
        <charset val="204"/>
      </rPr>
      <t>ООО «Региональная торгово-транспортная компания» (РТТК)</t>
    </r>
    <r>
      <rPr>
        <sz val="9"/>
        <color theme="4" tint="-0.249977111117893"/>
        <rFont val="Times New Roman"/>
        <family val="1"/>
        <charset val="204"/>
      </rPr>
      <t xml:space="preserve">
Юридический адрес: 672012, Забайкальский край, г. Чита, ул. Бутина, д. 125, пом. 3
Почтовый адрес: 672012, Забайкальский край, г. Чита, а/я 518
Генеральный директор О.С. Артемкин</t>
    </r>
  </si>
  <si>
    <t>134</t>
  </si>
  <si>
    <t>Выполнение работ по перевозке и монтажу оборудования учебной трансформаторной подстанции 35/10 кВ для нужд КУИЦ «Энергетика» - БрГУ</t>
  </si>
  <si>
    <t>Учебная трансформаторная подстанция 35/10 кВ для нужд КУИЦ «Энергетика» - БрГУ
Иркутская обл., г. Братск</t>
  </si>
  <si>
    <t>ФГБОУ ВО «БрГУ»
665709, Иркутская обл., г. Братск, жилой район Энергетик, ул. Макаренко, 40</t>
  </si>
  <si>
    <t>Электромонтажные и пусконаладочные работы учебно-исследовательской трансформаторной подстанции БрГУ для нужд КУИЦ «Энергетика» БрГУ».</t>
  </si>
  <si>
    <t xml:space="preserve">0504 от 18.03.2019 </t>
  </si>
  <si>
    <t xml:space="preserve">1710 от 11.11.2019 </t>
  </si>
  <si>
    <t>118.14</t>
  </si>
  <si>
    <t xml:space="preserve">102 от 15.05.2019 </t>
  </si>
  <si>
    <t>Текущий ремонт трансформатора ЭОЦНК-21000/10 зав. № 30100019. Установка избирателя БЛТИ.685121.016 в трансформатор ЭОЦНК-21000/10</t>
  </si>
  <si>
    <t xml:space="preserve">Электрооборудования на объектах ООО "ГРК "Быстринское" </t>
  </si>
  <si>
    <t>77.2.1</t>
  </si>
  <si>
    <t>399-19 от 31.05.2019</t>
  </si>
  <si>
    <t xml:space="preserve">Испытания электрооборудования на объектах ООО "ГРК "Быстринское" </t>
  </si>
  <si>
    <t>ПАО «ФСК ЕЭС» 
117630, г. Москва, ул. Академика Челомея, 5А.    
Филиал ПАО «ФСК ЕЭС»- МЭС Сибири.
660099, Красноярский край, Красноярск, ул. Лебедевой, 117 Тел. (391) 265-95-00 
Генподрядчик: АО Стройтрансгаз
 123112, г..Москва, ул. Тестовская, д. 10 
Подрядчик: АО "Сельэлектрострой"
660061, г. Красноярск, ул. Калинина, 66т. (391)221-71-27
Генеральный директор В.А. Жаров</t>
  </si>
  <si>
    <t xml:space="preserve">ПАО «ФСК ЕЭС» 
117630, г. Москва, ул. Академика Челомея, 5А.    
Филиал ПАО «ФСК ЕЭС»- МЭС Сибири.
660099, Красноярский край, Красноярск, ул. Лебедевой, 117 Тел. (391) 265-95-00 
Генподрядчик: АО Стройтрансгаз
 123112, г..Москва, ул. Тестовская, д. 10 
Подрядчик: ООО "СЭСКО"
660049, Красноярский край, Красноярск, пр-т Мира, д.30, корп. 1, каб. 3-11
Директор Матюшенко Э.В.. 
</t>
  </si>
  <si>
    <t xml:space="preserve">Филиал ПАО «ФСК ЕЭС»- МЭС Сибири.
660099, Красноярский край, Красноярск, ул. Лебедевой, 117 Тел. (391) 265-95-00 
ООО «Элвест»
620137, г. Екатеринбург, ул. Студенческая, 1, корп.18, оф.208
Фактический адрес: 623700, Свердловская обл., г. Березовский, п. Ленинский, д.30
Тел.(343) 383-46-18
Генеральный директор М.В. Кочедыков 
</t>
  </si>
  <si>
    <t xml:space="preserve">ПАО «ФСК ЕЭС» 
117630, г. Москва, ул. Академика Челомея, д.5А.    
Филиал ПАО «ФСК ЕЭС»- МЭС Сибири.
660099, Красноярский край, Красноярск, ул. Лебедевой, 117 Тел. (391) 265-95-00 
Генподрядчик - ООО «Проектно-строительное предприятие «Энергия» (ООО "ЭПС-Инжиниринг"
РФ,197022, г. Санкт-Петербург,
 ул. Инструментальная, д. 3, лит. К 2, тел./факс (812) 380-25-87
Генеральный директор С.А. Подзолов
</t>
  </si>
  <si>
    <t>ПАО «ФСК ЕЭС» 
117630, г. Москва, ул. Академика Челомея, 5А.    
Филиал ПАО «ФСК ЕЭС»- МЭС Сибири.
660099, Красноярский край, Красноярск, ул. Лебедевой, 117 Тел. (391) 265-95-00 
Генподрядчик: АО Стройтрансгаз
 123112, г. Москва, ул. Тестовская, д. 10 
Подрядчик: АО "Энергетические технологии"
664033, г. Иркутск, ул. Лермонтова, 130, оф. 110, Тел.: (3952) 423-523
Генеральный директор Черных О.Г.</t>
  </si>
  <si>
    <t xml:space="preserve">ПС 220/35/10 кВ "Удоканский ГМК" 
I этап. Строительство
Забайкальский край, Каларский район.
п. Новая Чара – п. Удокан.
</t>
  </si>
  <si>
    <t>ПС Чара 220/110/35/10 ОРУ 220 кВ 
Реконструкция
Забайкальский край, Каларский район.
п. Новая Чара</t>
  </si>
  <si>
    <t>Пусконаладочные работы на объекте: «Реконструкция ОРУ 220 кВ Подстанция Чара 220/110/35/10 кВ с изменением существующей схемы (для осуществления технологического присоединения энергетических установок ООО «Байкальская горная компания»)»</t>
  </si>
  <si>
    <t>12/19-СП от10.07.2019</t>
  </si>
  <si>
    <t xml:space="preserve">ПАО "ФСК ЕЭС" 117630, г. Москва, ул. Академика Челомея, д.5А.,
Подрядчик: Общество с ограниченной ответственностью СК «ВОСТОК»,
614036, Пермский край, г. Пермь, 
ул. Космонавта Беляева, д. 19, оф. 203
</t>
  </si>
  <si>
    <t xml:space="preserve">Электромонтажные и пусконаладочные работы по монтажу заземления экрана в здании ТКЦ Братск-АРТ по адресу: Иркутская обл., г. Братск, проспект Ленина, 28 </t>
  </si>
  <si>
    <t>23 от 13.09.2019</t>
  </si>
  <si>
    <t>129.9</t>
  </si>
  <si>
    <t>83.3</t>
  </si>
  <si>
    <t xml:space="preserve">Закрытое акционерное общество «Завод электротехнического оборудования» (ЗАО «ЗЭТО»)
182113, Россия, Псковская область, г. Великие Луки, Проспект Октябрьский, 79
Генеральный директор Д.В. Мунштуков </t>
  </si>
  <si>
    <t xml:space="preserve">867Д-02иркП-3012 от 26.11.2019 </t>
  </si>
  <si>
    <t>Работы по демонтажу-монтажу ТН-220кВ (1,2 СШ) и пусконаладочные работы ТН-220 6 фаз на объекте «ПС 220 кВ Мамакан»</t>
  </si>
  <si>
    <t>Выполнение пусконаладочных работ «под нагрузкой» по объекту: Техническое перевооружение ТП Коршуниха с заменой тягового трансформатора с 20 МВА на 40 МВА - 2 шт.  Установка УПК.</t>
  </si>
  <si>
    <t xml:space="preserve">ОАО «РЖД»
107174, Москва, Новая Басманная ул., д. 2
Подрядчик: ООО "Объединенная строительная компания 1520" (ОСК 1520)
105082 г.Москва, Переведеновский пер.,д.13, стр.5, тел.:8(495)679-82-36, ф.:8(495)679-82-37
Подрядчик: ООО РТМ «Трансформатор»
664043, Иркутская обл., г. Иркутск, ул. Сергеева, д.3
Генеральный директор А.В. Сковитин
</t>
  </si>
  <si>
    <t xml:space="preserve">09/12 от 09.12.2019 </t>
  </si>
  <si>
    <t xml:space="preserve">Выполнение пусконаладочных работ «под нагрузкой» по объекту: Техническое перевооружение ТП Черная с заменой тягового трансформатора с 20 МВА на 40 МВА - 1 шт. Установка УПК. </t>
  </si>
  <si>
    <r>
      <t xml:space="preserve">12.2019
</t>
    </r>
    <r>
      <rPr>
        <sz val="8"/>
        <color rgb="FFC00000"/>
        <rFont val="Times New Roman"/>
        <family val="1"/>
        <charset val="204"/>
      </rPr>
      <t xml:space="preserve">
</t>
    </r>
  </si>
  <si>
    <r>
      <t xml:space="preserve">12.2020 
</t>
    </r>
    <r>
      <rPr>
        <sz val="8"/>
        <color theme="4" tint="-0.499984740745262"/>
        <rFont val="Times New Roman"/>
        <family val="1"/>
        <charset val="204"/>
      </rPr>
      <t>на 01.2020 выполнено 66% (55112 т.руб)</t>
    </r>
  </si>
  <si>
    <r>
      <t xml:space="preserve">12.2020 </t>
    </r>
    <r>
      <rPr>
        <sz val="8"/>
        <color theme="4" tint="-0.499984740745262"/>
        <rFont val="Times New Roman"/>
        <family val="1"/>
        <charset val="204"/>
      </rPr>
      <t>выполнено на 01.01.2020 44% (28333 т.руб)</t>
    </r>
  </si>
  <si>
    <r>
      <t xml:space="preserve">12.2020 </t>
    </r>
    <r>
      <rPr>
        <sz val="8"/>
        <color theme="4" tint="-0.499984740745262"/>
        <rFont val="Times New Roman"/>
        <family val="1"/>
        <charset val="204"/>
      </rPr>
      <t>выполнено на 01.01.2020 43% (20613 т.руб)</t>
    </r>
  </si>
  <si>
    <t xml:space="preserve">12.2018
</t>
  </si>
  <si>
    <t xml:space="preserve"> -Техническое перевооружение  ТП  Хребтовая с заменой тягового  трансформатора с 25 МВА на 40 МВА-1 шт. Установка УПК,  замена защит 110 кВ</t>
  </si>
  <si>
    <t xml:space="preserve"> -Техническое перевооружение ТП Ручей. Технологическое присоединение к сетям ОАО "ИЭСК"ВСЖД - филиала ОАО "РЖД"</t>
  </si>
  <si>
    <t>ТП  Хребтовая
Иркутская обл. Нижнеилимский р-н</t>
  </si>
  <si>
    <r>
      <t xml:space="preserve">12.2020 </t>
    </r>
    <r>
      <rPr>
        <sz val="8"/>
        <color theme="4" tint="-0.499984740745262"/>
        <rFont val="Times New Roman"/>
        <family val="1"/>
        <charset val="204"/>
      </rPr>
      <t>выполнено на 01.01.2020 15% (6415 т.руб)</t>
    </r>
  </si>
  <si>
    <t>ТП Ручей 
Иркутская обл. Усть-Кутский р-н</t>
  </si>
  <si>
    <r>
      <t xml:space="preserve">11.2020 </t>
    </r>
    <r>
      <rPr>
        <sz val="8"/>
        <color theme="4" tint="-0.499984740745262"/>
        <rFont val="Times New Roman"/>
        <family val="1"/>
        <charset val="204"/>
      </rPr>
      <t>выполнено на 01.01.2020 31% (6658т.руб)</t>
    </r>
  </si>
  <si>
    <t>18.1</t>
  </si>
  <si>
    <t>25.1</t>
  </si>
  <si>
    <t>25.2</t>
  </si>
  <si>
    <t>54.6</t>
  </si>
  <si>
    <t>54.7</t>
  </si>
  <si>
    <t>54.8</t>
  </si>
  <si>
    <t>55.1</t>
  </si>
  <si>
    <t xml:space="preserve">12.2019 
</t>
  </si>
  <si>
    <t>91.1</t>
  </si>
  <si>
    <t>91.2</t>
  </si>
  <si>
    <t>91.3</t>
  </si>
  <si>
    <t>91.4</t>
  </si>
  <si>
    <t>103.17</t>
  </si>
  <si>
    <t>103.16</t>
  </si>
  <si>
    <t>103.18</t>
  </si>
  <si>
    <t>103.19</t>
  </si>
  <si>
    <t>115.80.1</t>
  </si>
  <si>
    <t>115.80.2</t>
  </si>
  <si>
    <t>115.80.3</t>
  </si>
  <si>
    <t>115.80.4</t>
  </si>
  <si>
    <t>115.80.5</t>
  </si>
  <si>
    <t>115.80.6</t>
  </si>
  <si>
    <t>134.1</t>
  </si>
  <si>
    <t>Старший экономист ПЭО ООО "БМУ ГЭМ" Танина-Шахова Л.А.</t>
  </si>
  <si>
    <t xml:space="preserve">6845/РТМ-ГЭМ от 09.12.2019 </t>
  </si>
  <si>
    <t xml:space="preserve">SP1041/БФ-6/19 от 30.09.2019 </t>
  </si>
  <si>
    <t xml:space="preserve">10.2019
</t>
  </si>
  <si>
    <r>
      <t xml:space="preserve">12.2019
</t>
    </r>
    <r>
      <rPr>
        <sz val="8"/>
        <rFont val="Times New Roman"/>
        <family val="1"/>
        <charset val="204"/>
      </rPr>
      <t xml:space="preserve">
</t>
    </r>
  </si>
  <si>
    <t>2020
на 01.01.2020 85% (70437 тыс.руб)</t>
  </si>
  <si>
    <t xml:space="preserve">Дата окончания </t>
  </si>
  <si>
    <t xml:space="preserve">06.2019 
</t>
  </si>
  <si>
    <t xml:space="preserve">30.06.2020 
</t>
  </si>
  <si>
    <t xml:space="preserve">12.2020 
</t>
  </si>
  <si>
    <t xml:space="preserve">12.2020
</t>
  </si>
  <si>
    <t xml:space="preserve">10.2019 </t>
  </si>
  <si>
    <t xml:space="preserve">12.2020 </t>
  </si>
  <si>
    <t xml:space="preserve">06.2020 </t>
  </si>
  <si>
    <t xml:space="preserve">11.2019
</t>
  </si>
  <si>
    <t xml:space="preserve">11.2020 </t>
  </si>
  <si>
    <t xml:space="preserve">12.2019 </t>
  </si>
  <si>
    <t xml:space="preserve">10.2020 
</t>
  </si>
  <si>
    <t xml:space="preserve">06.2020
</t>
  </si>
  <si>
    <t xml:space="preserve">09.2020 
</t>
  </si>
  <si>
    <t xml:space="preserve">01.2020 </t>
  </si>
  <si>
    <t xml:space="preserve">03.2020
</t>
  </si>
  <si>
    <t xml:space="preserve">11.2019 
</t>
  </si>
  <si>
    <t xml:space="preserve">Заказчик: Филиал ПАО "РусГидро" -  Воткинская ГЭС                                                             617761, Пермский край, г.Чайковский,                               тел. (34241) 7 03 59                                                     Директор филиала Бяков А.Г.                                             
Подрядчик: ООО «Камаэлектромонтаж»
194044, г. Санкт-Петербург, ул. Набережная Пироговская, д. 21, лит А, офис 54
Директор Ребров А.Н. </t>
  </si>
  <si>
    <t xml:space="preserve">Заказчик: Общество с ограниченной ответственностью "РУСАЛ Тайшетский Алюминиевый Завод" (ООО РУСАЛ Тайшет") в лице Генерального директора ООО "Инженерно-Строительная Компания" (ООО "ИСК") Соболева В.В.
665023, Иркутская обл., Тайшетский р-н, с.Старый Акульшет, ул.Советская, д.41            </t>
  </si>
  <si>
    <t>Заказчик (Генподрядчик, Подрядчик)                       наименование, адрес, контактное лицо</t>
  </si>
  <si>
    <t>Заказчик: 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Упоров В.А.</t>
  </si>
  <si>
    <t>Заказчик: 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Упоров В.А.</t>
  </si>
  <si>
    <t>Работы по монтажу основного коммутационного оборудования 500 кВ, 220 кВ, 35 кВ, 10 кВ, а также "жесткой ошиновки" 500 кВ, 220 кВ, включая металлоконструкции, контрольного и силового кабеля 0,4 кВ. щитов переменного ~0,4 кВ и постоянного =220В тока, аккумуляторных батарей, панелей РЗА, ПА, АСУ ТП, охранного освещения и систем видеонаблюдения, порталов и молниеотводов первого пускового комплекса объектов внешнего электроснабжения опорной подстанции 500 кВ для приема мощности Богучанской ГЭС и развития Тайшетского промузла: "Расширение и реконструкция ПС 500/110/35кВ Тайшет", "Строительство ПС 500/220/35кВ "Озёрная"</t>
  </si>
  <si>
    <t xml:space="preserve">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Черняков В.И. </t>
  </si>
  <si>
    <t xml:space="preserve">ПС 220/110/35/10 кВ Байкальская, 
г. Иркутск
</t>
  </si>
  <si>
    <t>ПС 500/220 кВ Шелеховская (Ключи),
 г.Шелехов, Иркутская область</t>
  </si>
  <si>
    <t xml:space="preserve">Такелаж, разгрузка и консервация трансформаторов КПП-1, КПП-2, ГПП, монтаж резервуаров склада масла </t>
  </si>
  <si>
    <t xml:space="preserve">ПС 500/110/35 кВ Тайшет,                          
г. Тайшет, Иркутскаяй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</si>
  <si>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 Энергетиков 6 
Директор филиала Терских Ю.Н.
Генподрядчик: ООО «ЕвроСибЭнерго-инжиниринг» 
664050, г. Иркутск, ул. Байкальская, д. 259
тел.: (3952) 794-683, факс: (3952) 794-546
Генеральный директор Шарабурак В.А.</t>
  </si>
  <si>
    <t xml:space="preserve">Богучанская ГЭС,
г. Кодинск, Кежемский район, Красноярский край
</t>
  </si>
  <si>
    <t>Заказчик: 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Упоров В.А.</t>
  </si>
  <si>
    <t>Выполнение комплекса электромонтажных и пусконаладочных работ собственных нужд, системы освещения и заземления Богучанской ГЭС</t>
  </si>
  <si>
    <t xml:space="preserve">Усть-Илимская ТЭЦ,
г. Усть-Илимск, Иркутская область 
</t>
  </si>
  <si>
    <t>Ремонт кабельных трасс контрольно-измерительных приборов  и автоматики на филиале ОАО "Иркутскэнерго" 
Усть-Илимская ТЭЦ</t>
  </si>
  <si>
    <t xml:space="preserve">Усть-Илимская ГЭС,
г. Усть-Илимск, Иркутская область
</t>
  </si>
  <si>
    <t>Заказчик: ОАО «Иркутскэнерго»
664025, г. Иркутск, ул. Сухэ-Батора,3
Генеральный директор Федоров Е.В.. 
Филиал ОАО "Иркутскэнерго" 
Усть-Илимская ГЭС
666683, Иркутская область, г. Усть-Илимск,           а/я 958, тел. (39535) 95 859, 95 736.
Директор филиала Вотенев А.А.</t>
  </si>
  <si>
    <t>Заказчик: ОАО «Иркутскэнерго»
664025, г. Иркутск, ул. Сухэ-Батора,3
Генеральный директор Федоров Е.В.  
Филиал ОАО "Иркутскэнерго" 
Усть-Илимская ТЭЦ
666684,Иркутская область, г.Усть-Илимск,      а/я 330, тел. (39535) 9 53 59
Директор филиала Матлашевский Ю.А.</t>
  </si>
  <si>
    <t xml:space="preserve">Заказчик:  ОАО "Сибирско-Уральская Алюминиевая Компания" (ОАО "СУАЛ") 
623406, Свердловская обл., г. Каменск-Уральский, ул. Заводская,10                    Директор Соловьев В.А.
Филиал «ИркАЗ-СУАЛ» ОАО "СУАЛ"
666034, г. Шелехов ул. Индустриальная,4
тел. (39510) 9-42-13                                   Генеральный директор Гринберг И.С. </t>
  </si>
  <si>
    <t xml:space="preserve">Электромонтажные работы на                         ПС 500/220 кВ "Шелеховская" (Ключи) </t>
  </si>
  <si>
    <t xml:space="preserve">ПС 500/220 кВ Шелеховская (Ключи),
г.Шелехов, Иркутская область </t>
  </si>
  <si>
    <t xml:space="preserve">Братская ГЭС, 
г. Братск, Иркутская область </t>
  </si>
  <si>
    <t>Заказчик: ОАО «Иркутскэнерго»
664025, г. Иркутск, ул. Сухэ-Батора,3
Генеральный директор Федоров Е.В. 
Филиал ОАО "Иркутскэнерго" Братская ГЭС
665709, г. Братск, а/я783
тел. (3953) 323 359, факс 323 367
Директор филиала Кузнецов С.В.</t>
  </si>
  <si>
    <t xml:space="preserve">Комплекс работ по объекту филиала ОАО "Иркутскэнерго" Братская ГЭС "Реконструкция оборудования режима СК" </t>
  </si>
  <si>
    <t>Иркутская ГЭС,
г. Иркутск</t>
  </si>
  <si>
    <t>Заказчик: ОАО «Иркутскэнерго»
664025, г. Иркутск, ул. Сухэ-Батора,3
Генеральный директор Федоров Е.В. 
Филиал ОАО "Иркутскэнерго" Иркутская ГЭС 
664056, г. Иркутск, Иркутская ГЭС, а/я 3408
тел. (3952)793-859,факс (3952)793-856
Директор филиала Усов С.В.
Генподрядчик: ООО "ЕвроСибЭнерго-инжиниринг" 
664050, г. Иркутск, ул. Байкальская, д. 259
тел. (3952) 794-683, факс (3952) 794-546
Генеральный директор Шарабурак В.А.</t>
  </si>
  <si>
    <t>Строительно-монтажные  и пусконаладочные  работы по объекту филиала ОАО "Иркутскэнерго"  Иркутская ГЭС: "Реконструкция схемы собственных нужд станции на напряжении 6 и 0,4 кВ. Четвертый пусковой комплекс".</t>
  </si>
  <si>
    <t xml:space="preserve">Усть-Илимская ТЭЦ, 
г. Усть-Илимск, Иркутская область
</t>
  </si>
  <si>
    <t>Заказчик: ОАО «Иркутскэнерго»
664025, г. Иркутск, ул. Сухэ-Батора,3
Генеральный директор Федоров Е.В..  
Филиал ОАО "Иркутскэнерго" 
Усть-Илимская ТЭЦ
666684,Иркутская область, г.Усть-Илимск-14, а/я 330 тел. (39535) 9 53 59
Директор филиала Матлашевский Ю.А.</t>
  </si>
  <si>
    <t>Электромонтажные   работы на объекте филиала ОАО "Иркутскэнерго" 
Усть-Илимская ТЭЦ: "Модернизация средств контроля и управления технологическим процессом к/а ст.№2"</t>
  </si>
  <si>
    <t xml:space="preserve">ПС 500/110/35кВ Тайшет,                                  ПС 500/220/35кВ Озерная,
г. Тайшет,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</si>
  <si>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 Энергетиков 6  Директор филиала Терских Ю.Н.
Генподрядчик: ЗАО "Энергетические технологии" 
664033, г. Иркутск, ул. Лермонтова, 130,             оф. 110, тел. (3952) 423-523                               Генеральный директор Черных О.Г.</t>
  </si>
  <si>
    <t xml:space="preserve">Строительно-монтажные работы в части оборудования связи по проекту 
ПС 500/220/35 кВ Озерная с ВЛ 500 кВ. Расширение и реконструкция                   ПС 500/110/35кВ Тайшет.
 </t>
  </si>
  <si>
    <t xml:space="preserve">Усть-Илимская ТЭЦ,
 г. Усть-Илимск, Иркутская область
</t>
  </si>
  <si>
    <t>Заказчик: ОАО «Иркутскэнерго»
664025, г. Иркутск, ул. Сухэ-Батора,3
Генеральный директор Федоров Е.В..  
Филиал ОАО "Иркутскэнерго" 
Усть-Илимская ТЭЦ                                    666684, Иркутская область, г.Усть-Илимск, а/я 330, тел. (39535) 9 53 59
Директор филиала Матлашевский Ю.А.</t>
  </si>
  <si>
    <t>Монтаж электротехнического оборудования для СРК-14 и Выпарной станции (проект "Большой Братск")</t>
  </si>
  <si>
    <t>Электромонтажные и пусконаладочные работы по объектам СРК-14 и Выпарной цех (проект "Большой Братск")</t>
  </si>
  <si>
    <t>Комплекс монтажных и пусконаладочных работ по объектам "Реконструкция целлюлозного производства. 1-я очередь строительства. Сушильный отдел хвойного потока. Упаковочное отделение хвойного потока" (проект "Большой Братск")</t>
  </si>
  <si>
    <t>Работы по монтажу силового электрооборудования и пусконаладочные работы по объекту " Реконструкция целлюлозного производства.1-я очередь строительства. Технологическая электростанция. СРК-12"(проект "Большой Братск")</t>
  </si>
  <si>
    <t>Заказчик: ПАО "Полюс"                                             123056, г. Москва, ул. Красина, д. 3, стр.1       тел: (495) 641-33-77 в лице АО «Витимэнерго» 
666902, Иркутская область, г. Бодайбо, Подстанция, д. 4, тел.: (39561) 56060 
Директор Машковский А.Р.
Генподрядчик: АО «Витимэнергострой»
664003, г Иркутск, ул. Ленина, 21
тел/факс: (3952) 33-60-35
Генеральный директор Заиграев А.С.</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</si>
  <si>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</si>
  <si>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Строительно-монтажные  и пусконаладочные  работы по объекту: "Реконструкция ПС 110/35/10 кВ "Киренская"</t>
  </si>
  <si>
    <t>ПС 110/35/10 кВ Киренская,
г. Киренск, Иркутская область</t>
  </si>
  <si>
    <t>Заказчик: ОАО «Иркутская электросетевая компания»                                                                     664033, г. Иркутск, ул. Лермонтова 257,                      тел: (3952)792-459,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</si>
  <si>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 xml:space="preserve">Строительно-монтажные  и пусконаладочные  работы по объекту: "Реконструкция ПС 220/110/35/6 кВ "Лена". II пусковой комплекс" </t>
  </si>
  <si>
    <t>Группа Илим,
г. Братск, Иркутская область</t>
  </si>
  <si>
    <t>Электромонтажные и пусконаладочные работы по реализации проекта "Изменение схемы питания распределительных устройств ПОСП КС-1" (проект "Большой Братск")</t>
  </si>
  <si>
    <t>Работы по проектам "Строительство хвойной линии";  "Строительство пресспата сушильной машины": Демонтаж, монтаж кабельных металлоконструкций; Демонтаж, монтаж силового контрольного кабеля; Демонтаж, монтаж электроосвещения; Демонтаж, монтаж электросилового оборудования; Демонтаж, монтаж троллейных шинопроводов; Демонтаж, монтаж  низковольтных и высоковольтных ячеек; Демонтаж, монтаж трансформаторов; Монтажные работы по электрооборудованию кранов; Монтаж высоковольтного кабеля; Монтаж концевых и соединительных муфт; Пусконаладочные работы (проект "Большой Братск")</t>
  </si>
  <si>
    <t xml:space="preserve">Усть-Илимская ГЭС,
г.Усть-Илимск, Иркутская область
</t>
  </si>
  <si>
    <t>Заказчик: ОАО «Иркутскэнерго»
664025, г. Иркутск, ул. Сухэ-Батора,3
Генеральный директор Федоров Е.В. 
Филиал ОАО "Иркутскэнерго" 
Усть-Илимская ГЭС
666683, г.Усть-Илимск, Иркутская обл.,                            а/я 958, тел. (39535) 95 859, 95 736.
Директор филиала Вотенев А.А.</t>
  </si>
  <si>
    <t>Модернизация автоматизированной системы опроса контрольно-измерительной аппаратуры за состоянием гидротехнических сооружений бетонной плотины (строительно-монтажные  работы по  автоматизированной измерительной системе контроля состояния гидротехнических сооружений, секция 45 бетонной плотины)</t>
  </si>
  <si>
    <t xml:space="preserve">ПС 110/6 кВ Верхнемарково, 
п. Верхнемарково, Усть-Кутский район,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</si>
  <si>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</si>
  <si>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Проектно-изыскательские, строительно-монтажные  и пусконаладочные  работы по объекту: "ПС 110/6 кВ "Верхнемарково" с отпайкой ВЛ-110 кВ "</t>
  </si>
  <si>
    <t xml:space="preserve">ПС 110/10 кВ Пивзавод,                 Иркутская область
</t>
  </si>
  <si>
    <t>Реконструкция объекта: "Замена выключателя 110 кВ ПС Пивзавод"</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</si>
  <si>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Черняков В.И</t>
  </si>
  <si>
    <t>Группа Илим,
г.Братск, Иркутская область</t>
  </si>
  <si>
    <t>Работы по транспортировке стрелы крана LIEBHERR LTM по проекту "Реконструкция целлюлозного производства. Управление стратегическими проектами" и парового барабана котла СРК-3000 ст.№14 по проекту "Реконструкция целлюлозного производства. Технологическая электростанция. СРК-14" (проект "Большой Братск")</t>
  </si>
  <si>
    <t>Заказчик: ОАО «Иркутскэнерго»
664025, г. Иркутск, ул. Сухэ-Батора,3
Генеральный директор Федоров Е.В.  
Филиал ОАО "Иркутскэнерго" 
Усть-Илимская ТЭЦ
666684 Иркутская область, г.Усть-Илимск, а/я 330, тел. (39535) 9 53 59
Директор филиала Клабуков В.С.</t>
  </si>
  <si>
    <t xml:space="preserve">ПС 220/110/35/10 кВ Байкальская,
г. Иркутск
</t>
  </si>
  <si>
    <t>Строительно-монтажные и пусконаладочные работы по противоаварийной автоматике по объекту: "Реконструкция ПС 220/110/35/10 кВ "Байкальская" с переводом ПС 35 кВ Лисиха в РП - 10 кВ" I этап</t>
  </si>
  <si>
    <t xml:space="preserve">Заказчик: ОАО Сибирско-Уральская Алюминиевая Компания (ОАО "СУАЛ")
623406, Свердловская обл., г. Каменск-Уральский, ул.Заводская,10                                     Директор Соловьев В.А.
Филиал "ИркАЗ-СУАЛ" ОАО "СУАЛ"
666034, г. Шелехов ул. Индустриальная,4
тел. (39510) 9-42-13                                    Генеральный директор: Гринберг И.С. </t>
  </si>
  <si>
    <t xml:space="preserve">Электромонтажные  работы на ячейках "А" и "Б"  ПС 220/110 кВ "Шелехово" </t>
  </si>
  <si>
    <t>ЛДК Игирма,
п.Новая Игирма,  Иркутская область</t>
  </si>
  <si>
    <t>Заказчик: ЗАО "ЛДК Игирма"
664075, Иркутск, ул. Байкальская, д.234
Генеральный директор Пустовалов А.В.</t>
  </si>
  <si>
    <t>Работы по электроосвещению на объекте  "Строгальный цех". "Лесопильно-деревообрабатывающего комплекса  по выпуску пиломатериалов мощностью 350 тыс.м3/год"</t>
  </si>
  <si>
    <t>Строительно-монтажные  и пусконаладочные  работы по объекту: "Реконструкция ПС 110/35/10 кВ "Киренская" (сети связи)</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</si>
  <si>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</si>
  <si>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 xml:space="preserve">ПС 110/6 кВ Знаменская,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</si>
  <si>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Черняков В.И</t>
  </si>
  <si>
    <t>Комплекс электромонтажных работ по реализации проекта "Реконструкция объектов подготовки, хранения и подачи КДО на утилизацию". II пусковой комплекс ПЩ</t>
  </si>
  <si>
    <t xml:space="preserve">Братский завод ферросплавов, 
г.Братск, Иркутская область
</t>
  </si>
  <si>
    <t>Заказчик: ООО "Братский завод ферросплавов "
665716, Россия, Иркутская обл., г. Братск,     П 01 11 01 00, тел: (3953) 49-59-01
Управляющий директор Прокопец В.Г. 
Генподрядчик: ООО "СМК"
665726, Иркутская обл., г. Братск, 
ул. Обручева 37-26
Генеральный директор Гритчин С.Г.</t>
  </si>
  <si>
    <t>Разгрузка с железнодорожного транспорта, погрузка такелажным способом и последующая транспортировка 7 печных трансформаторов</t>
  </si>
  <si>
    <t>Заказчик: 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Вотенев А.А.</t>
  </si>
  <si>
    <t>Реконструкция системы оперативного постоянного тока Усть-Илимской ГЭС (строительно-монтажные  и пусконаладочные работы по замене оборудования и кабельных связей щита постоянного тока (ЩПТ) здания ГЭС)</t>
  </si>
  <si>
    <t>Заказчик: 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Вотенев А.А.
Генподрядчик: ЗАО «ЭК «ЭВАЛИС»
665821, Иркутская область, г. Ангарск,
ул. Карла Маркса 71
Генеральный директор Борисов М.В.</t>
  </si>
  <si>
    <t xml:space="preserve">Работы по строительству, реконструкции, капитальному ремонту по объекту филиала ОАО "Иркутскэнерго" Усть-Илимская ГЭС "Реконструкция типового блока 500 кВ. Реконструкция блока 5Т. Реконструкция агрегатных собственных нужд 0,4 кВ блока 5Т </t>
  </si>
  <si>
    <t>Заказчик: 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Упоров В.А.</t>
  </si>
  <si>
    <t>Монтаж и пусконаладочные  работы вторичного оборудования</t>
  </si>
  <si>
    <t>Работы по монтажу оборудования КРУЭ 220 кВ по титулу "КРУЭ 220 кВ Богучанской ГЭС"</t>
  </si>
  <si>
    <t>Заказчик: 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Упоров В.А.
Генподрядчик: ЗАО «Электротехническая компания»                                                      614111, Пермский край, г. Пермь,                        ул. Солдатова, 29/2, тел./ф. (342)242-00-00, Генеральный директор Потанин В.А.</t>
  </si>
  <si>
    <t>Заказчик: 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Упоров В.А.
Подрядчик: ООО "Энерготрансстрой"
121087, г. Москва, ул. Барклая, д.6 стр.3 
Генеральный директор Дудзинский В.А.</t>
  </si>
  <si>
    <t>Работы по устройству временной системы отопления помещений КРУЭ 220 кВ Богучанской ГЭС на период монтажных работ</t>
  </si>
  <si>
    <t>Электромонтажные работы по монтажу высоковольтного оборудования на ОРУ-500 кВ на ПС 500/220 кВ "Шелеховская"</t>
  </si>
  <si>
    <t>Мероприятия по ликвидации последствий аварии после падения крана БК-1000 Б  на объекте "Кабельная трасса от ТЭЦ-6 до РП-11": электромонтажные и пусконаладочные работы</t>
  </si>
  <si>
    <t>Заказчик: ОАО «Иркутскэнерго»
664025, г. Иркутск, ул. Сухэ-Батора,3
Генеральный директор Федоров Е.В. 
Филиал ОАО "Иркутскэнерго" Братская ГЭС
665709, г. Братск, а/я 783
тел. (3953) 323 359, факс 323 367
Директор филиала Кузнецов С.В.</t>
  </si>
  <si>
    <t>Строительно-монтажные работы по объекту филиала ОАО "Иркутскэнерго" Братская ГЭС "Монтаж системы управления компрессорами высокого и низкого давления инв. №00043203"</t>
  </si>
  <si>
    <t>Заказчик: 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Упоров В.А.
Подрядчик: АО "Гидроэлектромонтаж"
675000, Амурская область, г. Благовещенск, ул. Зейская, 225/3
Генеральный директор  Васильев В.А.</t>
  </si>
  <si>
    <t>Комплекс работ по монтажу кабельных линий XLPE 500 кВ и 220 кВ Богучанской ГЭС</t>
  </si>
  <si>
    <t>Работы по монтажу кабельных металлоконструкций и линий КРУЭ 220 кВ</t>
  </si>
  <si>
    <t>Заказчик: ОАО «Иркутскэнерго»
664025, г. Иркутск, ул. Сухэ-Батора,3
Генеральный директор Федоров Е.В.  
Филиал ОАО "Иркутскэнерго" 
Усть-Илимская ТЭЦ
666684, Иркутская область, г.Усть-Илимск, а/я 330, тел. (39535) 9 53 59
Директор филиала Клабуков В.С.</t>
  </si>
  <si>
    <t>Ремонт кабельных трасс т/а ст. №3, питательно-деаэраторных установок (ПДУ) 1-4</t>
  </si>
  <si>
    <t>Заказчик: ОАО "Группа "Илим"
191025, г. Санкт-Петербург, ул. Марата,17,
Филиал ОАО "Группа "Илим" в г. Братске, 665718, Иркутская обл., г. Братск
тел: (3953) 340106,                                    Директор филиала Бунеева Р.Ф.</t>
  </si>
  <si>
    <t>Заказчик: ОАО "Группа "Илим"
191025, г. Санкт-Петербург, ул. Марата,17,
Филиал ОАО "Группа "Илим" в г. Братске, 665718, Иркутская обл., г. Братск
тел: (3953) 340106                                                 Директор филиала Бунеева Р.Ф.</t>
  </si>
  <si>
    <t>Заказчик: ОАО "Группа "Илим"
191025, г. Санкт-Петербург, ул. Марата,17,
Филиал ОАО "Группа "Илим" в г.Братске, 665718, Иркутская область, г. Братск
тел: (3953) 340106                                               Директор филиала Бунеева Р.Ф.</t>
  </si>
  <si>
    <t>Заказчик: ОАО "Группа "Илим"
191025, г. Санкт-Петербург, ул. Марата,17,
Филиал ОАО "Группа "Илим" в г. Братске, 665718, Иркутская область, г.Братск
тел: (3953) 340106                                                Директор филиала Бунеева Р.Ф.</t>
  </si>
  <si>
    <t>Заказчик: ОАО "Группа "Илим"
191025, г. Санкт-Петербург, ул. Марата,17,
Филиал ОАО "Группа "Илим" в г. Братске, 665718, Иркутская область, г. Братск
тел: (3953) 340106                                                            Директор филиала Бунеева Р.Ф.</t>
  </si>
  <si>
    <t>Заказчик: ОАО «Иркутскэнерго»
664025, г. Иркутск, ул. Сухэ-Батора,3
Генеральный директор Федоров Е.В. 
Филиал ОАО "Иркутскэнерго" Братская ГЭС
665709, г. Братск, а/я783
тел. (3953) 323 359, факс 323 367
Директор филиала Вотенев  А.А.</t>
  </si>
  <si>
    <t>Заказчик: КГКУ «Дирекция по комплексному развитию Нижнего Приангарья» (КГКУ «ДКР НП»)
660017, г. Красноярск, ул. Урицкого, д. 123,    тел. (391) 227-81-31, факс: (391)227-81-53 Генподрядчик: ООО «Инжиниринговый центр Энерго»                                                               660049, г. Красноярск, ул. Дубровинского, д. 100  Тел.: (391) 266-07-34 
Директор Цинадзе Д.Р.        
Управляющий директор Шеховцев Г.В.</t>
  </si>
  <si>
    <t>Монтаж кабельных линий XLPE 500 кВ . Изготовление и монтаж металлоконструкций для прокладки кабеля 500 кВ. Пусконаладочные работы.</t>
  </si>
  <si>
    <t xml:space="preserve">ПС 110/6 кВ Рудная, 
Иркутская область        </t>
  </si>
  <si>
    <t>Строительно-монтажные и пусконаладочные работы по объекту: "Замена выключателей 110 кВ на элегазовые ПС 110/6 кВ "Рудная" (2 шт)</t>
  </si>
  <si>
    <t xml:space="preserve">ПС 220/10/6 кВ Бытовая, 
г. Иркутск
 </t>
  </si>
  <si>
    <t>Строительно-монтажные и пусконаладочные работы по объекту: "Замена выключателя 220 кВ на элегазовый ПС 220/10/10 кВ "Бытовая"  (2 шт)</t>
  </si>
  <si>
    <t xml:space="preserve">Усть-Илимская ТЭЦ,
 г.Усть-Илимск, Иркутская область
</t>
  </si>
  <si>
    <t xml:space="preserve">ТЭЦ-16,
г.Железногорск-Илимский, Иркутская область 
</t>
  </si>
  <si>
    <t>Заказчик: ОАО «Иркутскэнерго»
664025, г. Иркутск, ул. Сухэ-Батора,3
Генеральный директор Федоров Е.В. 
Филиал ОАО "Иркутскэнерго" ТЭЦ-16
665651,Иркутская область, г. Железногорск-Илимский, 1, а/я 18
тел.(39566) 2-61-59, (39566) 2-61-59
Директор филиала Черкасов С.И.</t>
  </si>
  <si>
    <t xml:space="preserve">Ремонт электроосвещения электроцеха, освещения дымовой трубы ст.№2. 
Монтаж контура заземления оперативной лаборатории ТЭЦ-16 </t>
  </si>
  <si>
    <t xml:space="preserve">Монтаж частотного регулирования ЛК-1;
Замена светильников приводных и натяжных станций ЛК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</si>
  <si>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</si>
  <si>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</si>
  <si>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Комплекс работ "под ключ" по объекту: "АОСН-110 кВ ПС Лена"</t>
  </si>
  <si>
    <t>Заказчик: ОАО «Иркутскэнерго»
664025, г. Иркутск, ул. Сухэ-Батора,3
Генеральный директор Федоров Е.В. 
Филиал ОАО "Иркутскэнерго" Братская ГЭС
665709, г. Братск, а/я 783
тел.(3953) 323 359, факс 323 367
Директор филиала Вотенев А.А.</t>
  </si>
  <si>
    <t>Строительно-монтажные работы по объекту филиала ОАО "Иркутскэнерго" Братская ГЭС "Модернизация устройств центральной сигнализации машинного зала здания  Братской ГЭС - 1 этап "</t>
  </si>
  <si>
    <t>Заказчик: 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Кузнецов С.В.</t>
  </si>
  <si>
    <t>Модернизация автоматизированной системы опроса контрольно-измерительной аппаратуры за состоянием гидротехнических сооружений бетонной плотины Усть-Илимской ГЭС</t>
  </si>
  <si>
    <t>ПС 220/110/35/6 кВ Лена,
г.Усть-Кут, Иркутская область</t>
  </si>
  <si>
    <t>Тайшетский Алюминиевый Завод, с.Старый Акульшет, Тайшетский район, Иркутская область</t>
  </si>
  <si>
    <t>ПС 220/110/35/6 кВ Лена,
г.Усть-Кут,  Иркутская область</t>
  </si>
  <si>
    <t xml:space="preserve">ПС 220/10 кВ Шелехово,
г.Шелехов, Иркутская область </t>
  </si>
  <si>
    <t>ПС 110/35/10 кВ Киренская,                                  г.Киренск, Иркутская область</t>
  </si>
  <si>
    <t xml:space="preserve">Богучанская ГЭС,
г.Кодинск, Кежемский район, Красноярский край
</t>
  </si>
  <si>
    <t xml:space="preserve">Братская ГЭС,
г.Братск, Иркутская область </t>
  </si>
  <si>
    <t xml:space="preserve">Усть-Илимская ТЭЦ,
г.Усть-Илимск, Иркутская область
</t>
  </si>
  <si>
    <t xml:space="preserve">Усть-Илимская ТЭЦ,
г. Усть-Илимск, Иркутская область
</t>
  </si>
  <si>
    <t>ПС 220/110/35/6 кВ Лена,
г. Усть-Кут, Иркутская область</t>
  </si>
  <si>
    <t>ПС 27,5/6 кВ Шестаково,
п. Шестаково, Нижнеилимский район, Иркутская область</t>
  </si>
  <si>
    <t>Заказчик: 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Кузнецов С.В.</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</si>
  <si>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</si>
  <si>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Заказчик: 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Кузнецов С.В.</t>
  </si>
  <si>
    <t>Комплекс работ по замене релейных защит генераторов 13Г, 14Г и трансформатора 7Т на микропроцессорные защиты по объекту филиала ОАО "Иркутскэнерго" Усть-Илимская ГЭС "Реконструкция типового блока 500 кВ. Реконструкция блока 7Т"</t>
  </si>
  <si>
    <t xml:space="preserve">ПС 35/6 кВ Новый Невон,
п.Невон, Усть-Илимский район,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</si>
  <si>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</si>
  <si>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Комплекс работ по объекту: "Реконструкция ПС 35/6 кВ "Новый Невон" и ВЛ-110 кВ", включающий в себя демонтаж сетей 0,4-10 кВ в п. Кеуль</t>
  </si>
  <si>
    <t xml:space="preserve">ПС 220/10/6 кВ Бытовая, 
ПС Кировская,
Иркутская область
  </t>
  </si>
  <si>
    <t>Строительно-монтажные и пусконаладочные работы по объекту: "Замена аккумуляторных батарей на ПС Бытовая, ПС Кировская"</t>
  </si>
  <si>
    <t>Богучанский алюминиевый завод,  
п. Таёжный,  Красноярский край</t>
  </si>
  <si>
    <t xml:space="preserve">ЗАО "Богучанский Алюминиевый Завод"
663467, Красноярский край, Богучанский    р-н, Промплощадка Богучанского алюминиевого завода                                                       Генеральный директор Проскурин А.Г. </t>
  </si>
  <si>
    <t xml:space="preserve">Братский завод ферросплавов, 
г. Братск, Иркутская область
</t>
  </si>
  <si>
    <t>Заказчик: ООО "Братский завод ферросплавов"
665716, Иркутская обл., г. Братск,                 П 01 11 01 00,  тел: (3953) 49-59-01
Управляющий директор  Прокопец В.Г.</t>
  </si>
  <si>
    <t xml:space="preserve">Разгрузка трансформатора ТРДН 80000/110 с железнодорожного транспорта, дальнейшая его транспортировка до места хранения, с последующей разгрузкой и  установкой на площадке хранения </t>
  </si>
  <si>
    <t xml:space="preserve">Братская ГЭС, 
г. Братск,  Иркутская область </t>
  </si>
  <si>
    <t xml:space="preserve">Заказчик: ОАО «Иркутскэнерго»
664025, г. Иркутск, ул. Сухэ-Батора,3
Генеральный директор  Федоров Е.В.  
Филиал ОАО "Иркутскэнерго" Братская ГЭС
665709, г. Братск, а/я 783
 тел.  (3953) 323 359, факс 323 367,
Директор филиала Вотенев  А.А.
Генподрядчик: ООО ПО "Иркутскэнерго"
664043, г. Иркутск, бульвар Рябикова, 65
тел.(3952)790 076, 795 033
Директор Семин Б.М.
</t>
  </si>
  <si>
    <t>Монтаж узлов пожаротушения пусковых комплексов №№ 7,12, 15, 17, 16 на объекте филиала ОАО "Иркутскэнерго" Братская ГЭС согласно рабочему проекту "Комплексный проект переоборудования систем автоматической пожарной сигнализации, пожаротушения производственных и административно-бытовых помещений Братской ГЭС"</t>
  </si>
  <si>
    <t>Заказчик: 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Кузнецов С.В.
Генподрядчик: ЗАО «ЭК «ЭВАЛИС»
665821,  Иркутская область, г. Ангарск,
ул. Карла Маркса 71
Генеральный директор  Борисов М.В.</t>
  </si>
  <si>
    <t xml:space="preserve">Работы по строительству, реконструкции, капитальному ремонту по объекту филиала ОАО "Иркутскэнерго" Усть-Илимская ГЭС "Реконструкция типового блока 500 кВ Усть-Илимской ГЭС. Реконструкция блока 7Т. Реконструкция агрегатных собственных нужд 0,4 кВ блока 7Т Усть-Илимской ГЭС (АСН)" </t>
  </si>
  <si>
    <t>ПС 110/35/10 кВ Киренская,                          г. Киренск,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</si>
  <si>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</si>
  <si>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Комплекс работ по объекту: Реконструкция ПС 110/35/10 кВ "Киренская"</t>
  </si>
  <si>
    <t xml:space="preserve">ПС 35/6 кВ Новый Невон,
п. Невон, Усть Илимский район,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</si>
  <si>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</si>
  <si>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Комплекс работ по объекту: "Реконструкция ПС 35/6 кВ "Новый Невон" и ВЛ-110 кВ"</t>
  </si>
  <si>
    <t>Группа Илим,
 г. Братск, Иркутская область</t>
  </si>
  <si>
    <t>Заказчик: ОАО «Иркутскэнерго»
664025, г. Иркутск, ул. Сухэ-Батора,3
Генеральный директор  Федоров Е.В. 
Филиал ОАО "Иркутскэнерго" Братская ГЭС
665709, г. Братск, а/я 783
тел. (3953) 323 359, факс 323 367, 
Директор филиала Вотенев  А.А.
Генподрядчик: АО "Энергетические технологии"
664033, г. Иркутск, ул. Лермонтова, 130,         оф. 110, тел.: (3952) 423-523
Генеральный директор Черных О.Г.</t>
  </si>
  <si>
    <t xml:space="preserve">Строительно-монтажные  работы  по объекту филиала ОАО "Иркутскэнерго" Братская ГЭС -  Канал высокочастотной связи по линиям электропередачи 500 кВ ВЛ-571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</si>
  <si>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</si>
  <si>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 xml:space="preserve">ПС 220/10 кВ Шелехово,
г.Шелехов, Иркутская область  </t>
  </si>
  <si>
    <t xml:space="preserve">Заказчик: ОАО «Иркутская электросетевая компания»
664033, г. Иркутск, ул. Лермонтова 257,
тел: (3952) 792-459, факс: (3952) 792-461
Генеральный директор Б.Н. Каратаев
Филиал ОАО «Иркутская электросетевая компания» Южные электрические сети         664056, г. Иркутск, ул. Безбокова, 38
тел./факс.: (3952) 793-203
Директор филиала Черняков В.И.  </t>
  </si>
  <si>
    <t>Капитальный ремонт и пусконаладочные работы по объекту: "Замена ввода 220 кВ ф. С на ОВ-2-220 ПС Шелехово, замена ШОН на ВЛ-220 кВ ЩБЦ-269 ПС Шелехово"</t>
  </si>
  <si>
    <t xml:space="preserve">Комплекс работ по объекту: "Расширение подстанции "Тайшет-2" (Озерная) в части подключения воздушной линии электропередачи 500 кВ  от подстанции "Ангара" до подстанции "Тайшет-2" (Озерная) </t>
  </si>
  <si>
    <t>ПС "Тайшет-2" 500 кВ (Озерная), 
г.Тайшет, Иркутская область</t>
  </si>
  <si>
    <t>Заказчик: ОАО "Группа "Илим"
191025, г. Санкт-Петербург, ул. Марата,17,
Филиал ОАО "Группа "Илим" в г. Братске, 665718, Иркутская обл., г. Братск
тел: (3953) 340106,                                             Директор филиала Бунеева Р.Ф.</t>
  </si>
  <si>
    <t>Монтаж внутрицехового электрооборудования в зоне сушильного цеха, упаковочной линии и системы автоматизации технологических процессов в зоне сушильного цеха в рамках реализация проекта "Реконструкция целлюлозного производства. 1-я очередь строительства" (проект "Большой Братск")</t>
  </si>
  <si>
    <t xml:space="preserve">Заказчик: ООО "Братский завод ферросплавов"
665716, Иркутская обл., г. Братск,                              П 01 11 01 00 тел: (3953) 49-59-01
Управляющий директор Прокопец В.Г. </t>
  </si>
  <si>
    <t>Заказчик: ОАО «Иркутскэнерго»
664025, г. Иркутск, ул. Сухэ-Батора,3
Генеральный директор Федоров Е.В. 
Филиал ОАО "Иркутскэнерго" Братская ГЭС
665709, г. Братск, а/я 783
тел.(3953) 323 359, факс 323 367
Директор филиала Вотенев  А.А.</t>
  </si>
  <si>
    <t xml:space="preserve">Строительно-монтажные и пусконаладочные работы по объекту филиала ОАО "Иркутскэнерго" Братская ГЭС  "Реконструкция электрооборудования крана козлового №2 г/п 150 т"  </t>
  </si>
  <si>
    <t>ПС 500/110/35 кВ Тайшет,
г.Тайшет,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</si>
  <si>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 Тулун, пер. Энергетиков 6 
Директор филиала Коваленко Э.А.
Подрядчик: ЗАО "ИРМЕТ" 
664050, г. Иркутск, ул. Байкальская, 239, корпус 26 А
Директор  Шатнев С.Г.</t>
  </si>
  <si>
    <t>Электромонтажные работы по системе АСКУЭ ПС 500/110/35 кВ "Тайшет", яч.№ 11W5С (504)</t>
  </si>
  <si>
    <t>Заказчик: ОАО «Иркутскэнерго»
664025, г. Иркутск, ул. Сухэ-Батора,3
Генеральный директор Федоров Е.В. 
Филиал ОАО "Иркутскэнерго" Братская ГЭС
665709, г. Братск, а/я 783
тел.  (3953) 323 359, факс323 367 
Директор филиала Вотенев  А.А.</t>
  </si>
  <si>
    <t>Строительно-монтажные работы  по объекту филиала ОАО "Иркутскэнерго" Братская ГЭС  "Периметральное ограждение на правобережной границе территории Братской ГЭС "</t>
  </si>
  <si>
    <t>Заказчик: 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Кузнецов С.В.</t>
  </si>
  <si>
    <t>Строительно-монтажные  работы по замене трансформаторов тока на присоединениях В-4Т-572, В-7Т-571, В-8Т-571 на объекте филиала ОАО "Иркутскэнерго" Усть-Илимская ГЭС "Реконструкция главной схемы ОРУ-500 кВ с заменой трансформаторов тока  500 кВ"</t>
  </si>
  <si>
    <t>Заказчик: ОАО «Иркутскэнерго»
664025, г. Иркутск, ул. Сухэ-Батора,3
Генеральный директор Федоров Е.В.  
Филиал ОАО "Иркутскэнерго" 
Усть-Илимская ТЭЦ
666684 Иркутская область, г.Усть-Илимск, а/я 330, тел. (39535) 9 53 59
Директор филиала Кровушкин А.В.</t>
  </si>
  <si>
    <t>Электромонтажные   работы по объектам филиала ОАО "Иркутскэнерго"  Усть-Илимская ТЭЦ "Модернизация системы управления и контроля кислородного хозяйства. Реконструкция схемы обдувки ОГ-1-8, АВО 1-6, ОМ 1-20 котлоагрегата ст.№1"</t>
  </si>
  <si>
    <t xml:space="preserve">Богучанский Алюминиевый Завод,  
п. Таёжный,  Красноярский край
</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</si>
  <si>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Проскурин А.Г.</t>
  </si>
  <si>
    <t xml:space="preserve">ПС 220/110/10 кВ Правобережная,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</si>
  <si>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Гордеев А.П.</t>
  </si>
  <si>
    <t>Строительно-монтажные и пусконаладочные  работы по титулу: "Замена аккумуляторных батарей" в составе "ПС 220 кВ "Правобережная"</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</si>
  <si>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 Тулун, пер. Энергетиков 6 
Директор филиала Терских Ю.Н.</t>
  </si>
  <si>
    <t>Заказчик: ОАО "Группа "Илим"
191025, г. Санкт-Петербург, ул. Марата,17,
Филиал ОАО "Группа "Илим" в г. Братске, 665718, Иркутская обл., г. Братск
тел: (3953) 340106                                          Директор филиала Бунеева Р.Ф.</t>
  </si>
  <si>
    <t>Заказчик: ОАО «Иркутскэнерго»
664025, г. Иркутск, ул. Сухэ-Батора,3
Генеральный директор Федоров Е.В.
Филиал ОАО "Иркутскэнерго" Иркутская ГЭС 
664056, г. Иркутск, Иркутская ГЭС, а/я 3408
тел.: (3952)793-859, факс:  (3952)793-856
Директор филиала Усов С.В.</t>
  </si>
  <si>
    <t xml:space="preserve">Комплекс работ на объекте филиала ОАО "Иркутскэнерго"  Иркутская ГЭС Гидрогенератор № 3 1180-160-72
Замена системы тиристорного возбуждения. 
Гидрогенератор № 4 1180-160-72
Замена системы тиристорного возбуждения. </t>
  </si>
  <si>
    <t>Заказчик: 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Кузнецов С.В.</t>
  </si>
  <si>
    <t>Капитальный ремонт токопроводов ТЭКН-20/23000 в ячейке трансформаторов ст. № 3Т и ст.№ 6Т с полной заменой опорных изоляторов</t>
  </si>
  <si>
    <t>Заказчик: ОАО «Иркутскэнерго»
664025, г. Иркутск, ул. Сухэ-Батора,3
Генеральный директор Федоров Е.В.  
Филиал ОАО "Иркутскэнерго" 
Усть-Илимская ТЭЦ
666684, Иркутская область, г.Усть-Илимск, а/я 330, тел. (39535) 9 53 59
Директор филиала Кровушкин А.В.</t>
  </si>
  <si>
    <t>Ново-Иркутская ТЭЦ,
г. Иркутск</t>
  </si>
  <si>
    <t>Заказчик: ОАО «Иркутскэнерго»
664025, г. Иркутск, ул. Сухэ-Батора,3
Генеральный директор Федоров Е.В.
Филиал ОАО "Иркутскэнерго" Ново-Иркутская ТЭЦ   
664043, Иркутская область, г. Иркутск, бульвар Рябикова, 67, тел.(395-2) 795-309
Директор филиала Матлашевский Ю.А.</t>
  </si>
  <si>
    <t xml:space="preserve">Строительно-монтажные, пусконаладочные работы и поставка оборудования по объекту филиала ОАО "Иркутскэнерго" Ново-Иркутская ТЭЦ в г. Иркутске: "Реконструкция схемы СН 2 очереди с заменой ТСР-2 на трансформатор ТРДНС-40000/220/6,3" </t>
  </si>
  <si>
    <t xml:space="preserve">ПС 220/110/10 кВ Заводская,
ПС 220/110/10 кВ Опорная,
г. Братск,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</si>
  <si>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</si>
  <si>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Строительно-монтажные работы по объекту "ПС 220/110/10 кВ "Заводская",  "Опорная". Замена вводов"</t>
  </si>
  <si>
    <t xml:space="preserve">Богучанский Алюминиевый Завод 
п. Таёжный,  Красноярский край
</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</si>
  <si>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t>
  </si>
  <si>
    <t>Группа Или,                                                  г. Братск, Иркутская область</t>
  </si>
  <si>
    <t>Заказчик: ОАО "Группа "Илим"
191025, г. Санкт-Петербург, ул. Марата,17,
Филиал ОАО "Группа "Илим" в г. Братске, 665718,Иркутская обл., г. Братск
тел: (3953) 340106                                Директор филиала Бунеева Р.Ф.</t>
  </si>
  <si>
    <t>ПС 220/110/10 кВ Опорная,
г. Братск, Иркутская область</t>
  </si>
  <si>
    <t>Заказчик: ОАО «Иркутская электросетевая компания»                                                                   664033, г. Иркутск, ул. Лермонтова 257,                     тел: (3952)792-459,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</si>
  <si>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ПС 500 кВ БПП (Братский переключательный пункт),                           п.Турма, Иркутская область</t>
  </si>
  <si>
    <t>Заказчик: ОАО «Иркутская электросетевая компания»
664033, г. Иркутск, ул. Лермонтова 257,            тел: (3952) 792-459, факс: (3952) 792-461
Генеральный директор Б.Н. Каратаев
Филиал ОАО «Иркутская электросетевая компания» Западные электрические сети 
665253 г.Тулун, пер. Энергетиков 6                        Директор Терских Ю.Н.
Генподрядчик: ЗАО "Энергетические технологии" 
664033, г. Иркутск, ул. Лермонтова, 130,            оф. 110, тел.: (3952) 423-523                               Генеральный директор Черных О.Г.</t>
  </si>
  <si>
    <t xml:space="preserve">Строительно-монтажные работы по объекту филиала ОАО "ИЭСК" СЭС "Телеканалы ВЛ-500 кВ" </t>
  </si>
  <si>
    <t>Богучанский Алюминиевый Завод,           п.Таежный, Красноярский край</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</si>
  <si>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Проскурин А.Г.</t>
  </si>
  <si>
    <t xml:space="preserve">Заказчик: ОАО "Группа "Илим"
191025, г. Санкт-Петербург, ул. Марата,17,
Филиал ОАО "Группа "Илим" в г. Братске, 665718, Иркутская обл., г. Братск
тел: (3953) 340106                                        Директор филиала Бунеева Р.Ф. </t>
  </si>
  <si>
    <t xml:space="preserve">Братская ГЭС,
г. Братск,  Иркутская область </t>
  </si>
  <si>
    <t>Заказчик: ОАО «Иркутскэнерго»
664025, г. Иркутск, ул. Сухэ-Батора,3
Генеральный директор Причко О.Н. 
Филиал ОАО "Иркутскэнерго" Братская ГЭС
665709, г. Братск, а/я 783
 тел. (3953) 323 359, факс 323 367
Директор филиала Вотенев  А.А.</t>
  </si>
  <si>
    <t>Строительно-монтажные и пусконаладочные работы по объекту филиала ОАО "Иркутскэнерго" Братская ГЭС  "Реконструкция сети постоянного тока машинного зала здания ГЭС. Третий пусковой комплекс"</t>
  </si>
  <si>
    <t>Заказчик: ОАО «Иркутскэнерго»
664025, г. Иркутск, ул. Сухэ-Батора,3
Генеральный директор Федоров Е.В. 
Филиал ОАО "Иркутскэнерго" 
Усть-Илимская ГЭС
666683, г. Усть-Илимск, Иркутской обл.,                     а/я 958, тел. (39535) 95 859, 95 736
Директор филиала Кузнецов С.В.</t>
  </si>
  <si>
    <t>Заказчик: 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t>
  </si>
  <si>
    <t>Комплекс работ по объекту филиала ОАО "Иркутскэнерго" Усть-Илимская ГЭС "Реконструкция нежилого отдельно стоящего здания ГЭС, состоящего из 20 отметок, общей площадью 46582,6 м2"</t>
  </si>
  <si>
    <t>Заказчик: ОАО «Иркутскэнерго»
664025, г. Иркутск, ул. Сухэ-Батора,3
Генеральный директор Причко О.Н.
Филиал ОАО "Иркутскэнерго" 
Усть-Илимская ТЭЦ
666684, Иркутская область, г.Усть-Илимск, а/я 330, тел. (39535) 9 53 59
Директор филиала Кровушкин А.В.</t>
  </si>
  <si>
    <t>Заказчик: ОАО «Иркутскэнерго»
664025, г. Иркутск, ул. Сухэ-Батора,3
Генеральный директор Причко О.Н. 
Филиал ОАО "Иркутскэнерго" Ново-Иркутская ТЭЦ   
664043, Иркутская область, г. Иркутск, бульвар Рябикова, 67, тел.(395-2) 795-309
Директор филиала Матлашевский Ю.А.
Генподрядчик: ООО «ЕвроСибЭнерго-инжиниринг»  
664050,г. Иркутск, ул. Байкальская, д. 259
тел.: (3952) 794-683, факс: (3952) 794-546
Директор филиала на территории Иркутской обл. Говоруха А.Н.
Подрядчик: ЗАО "Иркутскэнергоремонт" 
664050, г. Иркутск, ул. Байкальская 259,               а/я 370, тел.(3952) 794-652 
Генеральный директор Ганжа О.В.</t>
  </si>
  <si>
    <t>Работы по монтажу вторичной коммутации элементов главной схемы, собственных нужд, электрооборудования тиристорной системы возбуждения по объекту: "Турбоагрегат ст. №6 Ново-Иркутской ТЭЦ"</t>
  </si>
  <si>
    <t>Работы по монтажу кабелей управления и сигнализации РЗиА по объекту: "Турбоагрегат ст. №6 Ново-Иркутской ТЭЦ"</t>
  </si>
  <si>
    <t>Заказчик: ОАО «Иркутскэнерго»
664025, г. Иркутск, ул. Сухэ-Батора,3
Генеральный директор Причко О.Н. 
Филиал ОАО "Иркутскэнерго" Ново-Иркутская ТЭЦ   
664043, Иркутская область, г. Иркутск, бульвар Рябикова, 67, тел.(395-2) 795-309
Директор филиала Матлашевский Ю.А.
Генподрядчик: ООО «ЕвроСибЭнерго-инжиниринг»  
664050,г. Иркутск, ул. Байкальская, д. 259
тел.: (3952) 794-683, факс: (3952) 794-546
Директор филиала на территории Иркутской обл. Говоруха А.Н.
Подрядчик: ЗАО "Иркутскэнергоремонт" 
664050, г. Иркутск, ул. Байкальская 259,                а/я 370, тел.(3952) 794-652 
Генеральный директор Ганжа О.В.</t>
  </si>
  <si>
    <t>Раскладка кабеля в главном корпусе по объекту: "Турбоагрегат ст. №6 Ново-Иркутской ТЭЦ "</t>
  </si>
  <si>
    <t>Ново-Иркутская ТЭЦ,                                  г. Иркутск</t>
  </si>
  <si>
    <t>Заказчик: ОАО «Иркутскэнерго»
664025, г. Иркутск, ул. Сухэ-Батора,3
Генеральный директор Причко О.Н. 
Филиал ОАО "Иркутскэнерго" Ново-Иркутская ТЭЦ   
664043, Иркутская область, г. Иркутск, бульвар Рябикова, 67, тел.(395-2) 795-309
Директор филиала Матлашевский Ю.А.
Генподрядчик: ООО «ЕвроСибЭнерго-инжиниринг»  
664050, г. Иркутск, ул. Байкальская, д. 259
тел.: (3952) 794-683, факс: (3952) 794-546
Директор филиала на территории Иркутской обл. Говоруха А.Н.
Подрядчик: ЗАО "Иркутскэнергоремонт" 
664050, г. Иркутск, ул. Байкальская 259,               а/я 370, тел.(3952) 794-652 
Генеральный директор Ганжа О.В.</t>
  </si>
  <si>
    <t>Монтаж кабельных конструкций. Кабельное хозяйство в главном корпусе;
Заземление машинного отделения в главном корпусе;
Монтаж электрооборудования. Выводы генератора;
Приобретение и монтаж электрооборудования по объекту: "Ново-Иркутская ТЭЦ Турбоагрегат ст. №6 "</t>
  </si>
  <si>
    <t>ПС 220/110/35/6 кВ Лена,
г. Усть-Кут,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</si>
  <si>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</si>
  <si>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 xml:space="preserve">ПС 500 кВ Озерная,                                  г.Тайшет, Иркутская область 
</t>
  </si>
  <si>
    <t>Заказчик: ОАО «Иркутская электросетевая компания»
664033, г. Иркутск, ул. Лермонтова 257       тел: (3952) 792-459, факс: (3952) 792-461
Генеральный директор Б.Н. Каратаев
Филиал ОАО «Иркутская электросетевая компания» Западные электрические сети 
665253 г.Тулун, пер. Энергетиков 6. 
Директор Терских Ю.Н.
Генподрядчик: ООО «ЕвроСибЭнерго-инжиниринг» 
664050,г. Иркутск, ул. Байкальская, д. 259
тел. (3952) 794-683, факс (3952) 794-546
Генеральный директор Шарабурак В.А.</t>
  </si>
  <si>
    <t xml:space="preserve">Комплекс работ  по строительству объекта:
"Расширение ПС 500 кВ Озерная в части подключения ВЛ 500 кВ Богучанская ГЭС-Озерная" по титулу "ВЛ 500 кВ Богучанская ГЭС - Озерная" </t>
  </si>
  <si>
    <t xml:space="preserve">Заказчик: ОАО "Группа "Илим"
191025, г. Санкт-Петербург, ул. Марата,17,
Филиал ОАО "Группа "Илим" в г. Братске, 665718,Иркутская обл., г. Братск
Тел: (3953) 340106                                Директор филиала Бунеева Р.Ф. </t>
  </si>
  <si>
    <t>Монтажные и пусконаладочные работы электрической системы 6 кВ главного распределительного устройства и турбогенераторов ТЭС-3 по объекту "Реконструкция турбинного отделения КТЦ ТЭС-3 с установкой двух противодавленческих турбин с давлением острого пара 90 бар"</t>
  </si>
  <si>
    <t xml:space="preserve">Заказчик: ООО "Братский завод ферросплавов "
 665716, Россия, Иркутская обл., г. Братск,                  П 01 11 01 00, тел: (3953) 49-59-01
Управляющий директор Прокопец В.Г. </t>
  </si>
  <si>
    <t xml:space="preserve">Капитальный ремонт агрегата трансформаторного ЭОЦНК 21000/10-83 УХЛ (2 шт) </t>
  </si>
  <si>
    <t>Заказчик: ОАО «Богучанская ГЭС»  
663491, г. Кодинск, стройбаза левого берега зд. 1, объединённая база №1, а/я 132 
тел. (39143) 3-10-00, 7-13-96
Генеральный директор Терешков Н.Н.</t>
  </si>
  <si>
    <t>Работы по аварийно-восстановительному ремонту (АВР) блочного трансформатора Т2 типа ТЦ 400000/500 УХЛ1</t>
  </si>
  <si>
    <t>Ново-Иркутская ТЭЦ, 
г. Иркутск</t>
  </si>
  <si>
    <t>Заказчик: ОАО «Иркутскэнерго»
664025, г. Иркутск, ул. Сухэ-Батора,3
Генеральный директор Причко О.Н. 
Филиал ОАО "Иркутскэнерго" Ново-Иркутская ТЭЦ   
664043, Иркутская область, г. Иркутск, бульвар Рябикова, 67, тел.(395-2) 795-309
Директор филиала Матлашевский Ю.А.
Генподрядчик: ООО «ЕвроСибЭнерго-инжиниринг»  
664050,г. Иркутск, ул. Байкальская, д. 259
тел.: (3952) 794-683, факс: (3952) 794-546
Директор филиала на территории Иркутской обл. Говоруха А.Н.
Подрядчик: ЗАО "Иркутскэнергоремонт" 
664050, г. Иркутск, ул. Байкальская 259,           а/я 370, тел.(3952) 794-652 
Генеральный директор Ганжа О.В.</t>
  </si>
  <si>
    <t>Строительно-монтажные работы по объекту филиала ОАО "Иркутскэнерго" Ново-Иркутская ТЭЦ в г. Иркутске: "Внедрение полномасштабной АСУ ТП к/а ст.№6"</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</si>
  <si>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</si>
  <si>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ПС 220 кВ Кодинская ГПП,
г.Кодинск, Кежемский район, Красноярский край</t>
  </si>
  <si>
    <t>Заказчик: ОАО «ФСК ЕЭС» 
117630, г. Москва, ул. Академика Челомея, д.5А.    
Филиал ОАО «ФСК ЕЭС»- МЭС Сибири
660099, Красноярский край, Красноярск, ул. Ады Лебедевой, 117, тел. (391) 265-95-00 
Директор филиала Зильберман С.М.</t>
  </si>
  <si>
    <t>Выполнение комплекса работ по титулу: "Подстанция 220 кВ Кодинская ГПП, реконструкция линейных ячеек 10 кВ (для осуществления технологического присоединения энергопринимающих устройств Краевого государственного казенного учреждения "Дирекция по комплексному развитию Нижнего Приангарья")</t>
  </si>
  <si>
    <t xml:space="preserve">Заказчик: ОАО «Иркутскэнерго»
664025, г. Иркутск, ул. Сухэ-Батора,3
Генеральный директор Причко О.Н. 
Филиал ОАО "Иркутскэнерго" Братская ГЭС
665709, г. Братск, а/я 783
тел. (3953) 323 359, факс 323 367 
Директор филиала Вотенев  А.А.
Генподрядчик: ООО "НПФ "Ракурс"
198095, г. Санкт-Петербург, 
Химический пер.,  д.1 корп.2 
тел. (812)252 32 44, 252 64 79
Генеральный директор Чернигов Л.М.
</t>
  </si>
  <si>
    <t xml:space="preserve">ПС 35/10 кВ Черноруд,
Иркутская область
</t>
  </si>
  <si>
    <t xml:space="preserve">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Восточные электрические сети
664047, г. Иркутск, ул. Депутатская, д.38
тел./факс.: 8(395-2)794-859, 8(395-2) 794-811       Директор филиала Садохин А.И.                 </t>
  </si>
  <si>
    <t>Строительно-монтажные и пусконаладочные  работы по реконструкции объекта ПС 35/10 кВ Черноруд (перевод на напряжение 110 кВ) по первому пусковому комплексу</t>
  </si>
  <si>
    <t xml:space="preserve">Промплощадка разреза Азейский -        ПС 500 кВ Тулун,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</si>
  <si>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пер.Энергетиков 6
Директор Терских Ю.Н.</t>
  </si>
  <si>
    <t>Ремонт, транспортировка к месту ремонта и такелаж трансформатора ТДТН 25000/110  (Промплощадка разреза Азейский - ПС 500 Тулун) филиала ОАО "ИЭСК" ЗЭС</t>
  </si>
  <si>
    <t>Заказчик: 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t>
  </si>
  <si>
    <t>Строительно-монтажные  и пусконаладочные работы  по замене агрегатных собственных нужд 0,4 кВ по объекту филиала ОАО "Иркутскэнерго" Усть-Илимская ГЭС "Реконструкция типового блока 500 кВ  Реконструкция блока 8Т АСН 0,4 кВ"</t>
  </si>
  <si>
    <t>Районные электрические сети (РЭС-2),
г. Усть-Илимск,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</si>
  <si>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</si>
  <si>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Строительно-монтажные и пусконаладочные работы по объекту: "Установка дуговых защит РП"</t>
  </si>
  <si>
    <t>ПС 110/10 кВ Покровская,
п. Пивовариха, Иркутский район</t>
  </si>
  <si>
    <t xml:space="preserve">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Восточные электрические сети
664047, г. Иркутск, ул. Депутатская, д.38
тел./факс.: 8(395-2)794-859, 8(395-2) 794-811     Директор филиала Садохин А.И.                 </t>
  </si>
  <si>
    <t xml:space="preserve">Строительство объекта "под ключ":
"ПС 110/10 кВ Покровская с ВЛ 110 кВ в габаритах 220 кВ"
</t>
  </si>
  <si>
    <t>ПС 220/110 кВ Восточная, 
г. Иркутск</t>
  </si>
  <si>
    <t>Заказчик: КГКУ "Дирекция по комплексному развитию Нижнего Приангарья"                660017, г. Красноярск, ул. Урицкого, д. 123,                 тел. (391) 227-81-31, факс: (391)227-81-53 
Генподрядчик: ООО «ЕвроСибЭнерго-инжиниринг»  
664050, г. Иркутск, ул. Байкальская, д. 259
тел.(3952) 794-683, факс (3952) 794-546  Директор филиала на территории Иркутской обл. Говоруха А.Н.
Подрядчик: ЗАО "Иркутскэнергоремонт" 
664050, г. Иркутск, ул. Байкальская 259,         а/я 370, тел.(3952) 794-652 
Генеральный директор Ганжа О.В.</t>
  </si>
  <si>
    <t>Заказчик: ОАО «Иркутскэнерго»
664025, г. Иркутск, ул. Сухэ-Батора,3
Генеральный директор Причко О.Н. 
Филиал ОАО "Иркутскэнерго" Ново-Иркутская ТЭЦ   
664043, Иркутская область, г. Иркутск, бульвар Рябикова, 67, тел.(395-2) 795-309
Директор филиала Матлашевский Ю.А.
Генподрядчик: ООО «ЕвроСибЭнерго-инжиниринг»  
664050,г. Иркутск, ул. Байкальская, д. 259
тел.: (3952) 794-683, факс: (3952) 794-546   
Директор филиала на территории Иркутской обл. Говоруха А.Н.
Подрядчик: ЗАО "Иркутскэнергоремонт" 
664050, г. Иркутск, ул. Байкальская 259,            а/я 370, тел.(3952) 794-652 
Генеральный директор Ганжа О.В.</t>
  </si>
  <si>
    <t xml:space="preserve">Заказчик: ОАО «Иркутская электросетевая компания»
664033, г. Иркутск, ул. Лермонтова 257,
тел: (3952) 792-459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ЮЭС Гордеев А.П. 
Генподрядчик  ООО «ЕвроСибЭнерго-инжиниринг»  
664050,г. Иркутск, ул. Байкальская, д. 259
тел.: (3952) 794-683, факс: (3952) 794-546 Директор филиала на территории Иркутской обл. Говоруха А.Н.
</t>
  </si>
  <si>
    <t>Комплекс электромонтажных и пусконаладочных работ по объекту: 
"ПС 220/110/10 кВ Восточная"</t>
  </si>
  <si>
    <t>ПС 500 кВ Ангара, 
Красноярский край</t>
  </si>
  <si>
    <t>Заказчик: КГКУ "Дирекция по комплексному развитию Нижнего Приангарья"                660017, г. Красноярск, ул. Урицкого, д. 123,                  тел. (391) 227-81-31, 227-81-53                Генподрядчик  ООО «ЕвроСибЭнерго-инжиниринг» 
 664050,г. Иркутск, ул. Байкальская, д. 259
тел.: (3952) 794-683, факс: (3952) 794-546
Генеральный директор Колокольцев А.А.</t>
  </si>
  <si>
    <t xml:space="preserve">Работы по строительству линии электропередач (ВЛ 10 кВ) по опорам с 1 по 69 до базы службы эксплуатации Богучанской ГЭС </t>
  </si>
  <si>
    <t>Заказчик: ОАО «Богучанская ГЭС» 
663491, г. Кодинск, стройбаза левого берега. Зд. 1, объединённая база №1                                 Генеральный директор Терешков Н.Н.
Подрядчик: ЗАО "Спецэнергосистемы"
660049, г. Красноярск, ул. Карла Маркса, 48 тел.(391) 294-44-40
Директор Нестеров А.Р.</t>
  </si>
  <si>
    <t xml:space="preserve">Заказчик: ОАО "Группа "Илим"
191025, г. Санкт-Петербург, ул. Марата,17,
Филиал ОАО "Группа "Илим" в г. Братске, 665718, Иркутская обл., г. Братск
Тел: (3953) 340106                                                            Директор филиала Бунеева Р.Ф.                                          </t>
  </si>
  <si>
    <t>Работы по замене масляных выключателей          6 кВ на элегазовые в РП-16  цеха электроснабжения (ЦЭС)</t>
  </si>
  <si>
    <t>Заказчик: ОАО "Группа "Илим"
191025, г. Санкт-Петербург, ул. Марата,17,
Филиал ОАО "Группа "Илим" в г. Братске, 665718,  Иркутская обл., г. Братск
Тел: (3953) 340106                                                          Директор филиала Бунеева Р.Ф.</t>
  </si>
  <si>
    <t>ПС 220 кВ Кодинская ГПП, 
г. Кодинск,  Красноярский край</t>
  </si>
  <si>
    <t>Заказчик: ОАО «ФСК ЕЭС» 
117630, г. Москва, ул. Академика Челомея, д.5А.    
Филиал ОАО «ФСК ЕЭС»- МЭС Сибири.
660099, Красноярский край, Красноярск, ул. Ады Лебедевой, 117, тел. (391) 265-95-00 
Генеральный директор Зильберман С.М.</t>
  </si>
  <si>
    <t xml:space="preserve">Богучанский Алюминиевый Завод, 
п. Таёжный,  Красноярский край
</t>
  </si>
  <si>
    <t xml:space="preserve">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   </t>
  </si>
  <si>
    <t>Заказчик: ОАО "Группа "Илим"
191025, г. Санкт-Петербург, ул. Марата,17,
Филиал ОАО "Группа "Илим" в г. Братске, 665718, Иркутская обл., г. Братск
Тел: (3953) 340106                                               Директор филиала Бунеева Р.Ф.</t>
  </si>
  <si>
    <t>Пусконаладочные работы шинопроводов 3,4 и РП-7А, 7Б по проекту "Реконструкция турбинного отделения КТЦ ТЭС-3 с установкой двух противодавленческих турбин с давлением острого пара 90 бар"</t>
  </si>
  <si>
    <t>Электромонтажные работы реконструкции шинопроводов 3,4 и РП-7А, 7Б по проекту "Реконструкция турбинного отделения КТЦ ТЭС-3 с установкой двух противодавленческих турбин с давлением острого пара 90 бар"</t>
  </si>
  <si>
    <t>ПС 35/10 Большеокинск, ПС 35/10 Калтук,  ПС 35/10 Кардой,  ПС 35/10 Новая Коршуниха, ПС 35/10 Заморский, ПС 35/10 Дальний,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</si>
  <si>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</si>
  <si>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Строительно-монтажные и пусконаладочные работы по объекту: "Реконструкция телемеханики на ПС СЭС"</t>
  </si>
  <si>
    <t xml:space="preserve">Заказчик: ОАО «Иркутскэнерго»
664025, г. Иркутск, ул. Сухэ-Батора,3
Генеральный директор Причко О.Н. 
Филиал ОАО "Иркутскэнерго" Братская ГЭС
665709, г. Братск, а/я 783
 тел.(3953) 323 359, факс 323 367
Директор филиала Вотенев  А.А.
Генподрядчик: ООО "НПФ "Ракурс"
198095, г. Санкт-Петербург, 
Химический пер.,  д.1 корп.2 
тел. (812)252 32 44, 252 64 79
Генеральный директор Чернигов Л.М.
</t>
  </si>
  <si>
    <t xml:space="preserve">Работы по объекту филиала ОАО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10Г, ССМД 10Г с верхним уровнем, ЭГР 12Г, ССМД 12Г с верхним уровнем, ЭГР 17Г, ССМД 17Г с верхним уровнем)
</t>
  </si>
  <si>
    <t>Заказчик: 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
Генподрядчик: ООО "Аргон"
666683, Иркутская область, г Усть-Илимск, ул. Героев Труда, д 49, кв. 85 
Директор Землякова Т.С.</t>
  </si>
  <si>
    <t>Строительно-монтажные работы по объекту филиала ОАО "Иркутскэнерго" Усть-Илимская ГЭС "Реконструкция сегментного затвора водосливной секции бетонной плотины для обеспечения бесперебойного маневрирования в период отрицательных температур"</t>
  </si>
  <si>
    <t>Заказчик: ОАО «Иркутскэнерго»
664025, г. Иркутск, ул. Сухэ-Батора,3
Генеральный директор Причко О.Н.
Филиал ОАО "Иркутскэнерго" Иркутская ГЭС 
664056, г. Иркутск, Иркутская ГЭС, а/я 3408
тел. (3952)793-859, факс:  (3952)793-856
Директор филиала Усов С.В.</t>
  </si>
  <si>
    <t>Комплекс работ на объекте филиала ОАО "Иркутскэнерго"  Иркутская ГЭС "Гидрогенератор № 6 1160-180-72
Замена системы тиристорного возбуждения. 
Гидрогенератор № 7 1160-180-72.
Замена системы тиристорного возбуждения".</t>
  </si>
  <si>
    <t xml:space="preserve"> Богучанский Алюминиевый Завод, 
п. Таёжный,  Красноярский край
</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</si>
  <si>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t>
  </si>
  <si>
    <t>Заказчик: ОАО "Группа "Илим"
191025, г. Санкт-Петербург, ул. Марата,17,
Филиал ОАО "Группа "Илим" в г. Братске, 665718, Иркутская обл., г. Братск
лел: (3953) 340106                                 Директор филиала Поздняков А.А.</t>
  </si>
  <si>
    <t>Пусконаладочные работы по шкафам защиты минимального напряжения распределительных устройств РП-7А, РП-7Б по объектам "Реконструкция ЦП. 1-я очередь строительства. Отбельный цех хлорного потока. Отдел промывки, сортировки и кислородной делигнификации хвойного потока"</t>
  </si>
  <si>
    <t>Заказчик: ОАО «Иркутскэнерго»
664025, г. Иркутск, ул. Сухэ-Батора,3
Генеральный директор Причко О.Н. 
Филиал ОАО "Иркутскэнерго" Братская ГЭС
665709, г. Братск, а/я 783
тел. (3953) 323 359, факс 323 367 
Директор филиала Вотенев  А.А.</t>
  </si>
  <si>
    <t>Замена рабочего колеса 12Г -  Вывозка рабочего колеса с МП-1 на центральный склад (территория здания закрытого теплового склада ОМТС) Братской ГЭС</t>
  </si>
  <si>
    <t>Заказчик: 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t>
  </si>
  <si>
    <t>Строительно-монтажные  и пусконаладочные работы по объекту филиала ОАО "Иркутскэнерго" Усть-Илимская ГЭС "Модернизация электрооборудования козлового крана зав. №1 рег.№152"</t>
  </si>
  <si>
    <t>Заказчик: ОАО "Группа "Илим"
191025, г. Санкт-Петербург, ул. Марата,17,
Филиал ОАО "Группа "Илим" в г. Братске, 665718, РФ, Иркутская обл., г. Братск
тел: (3953) 340106                                 Директор филиала Поздняков А.А.</t>
  </si>
  <si>
    <t>Электромонтажные и пусконаладочные работы в рамках проектов "Реконструкция целлюлозного производства. 1-я очередь строительства. Техническое перевооружение ЦКРИ"</t>
  </si>
  <si>
    <t>Заказчик: ОАО "Группа "Илим"
191025, г. Санкт-Петербург, ул. Марата,17,
Филиал ОАО "Группа "Илим" в г. Братске, 665718, РФ, Иркутская обл., г. Братск
Тел: (3953) 340106                                                   Директор филиала Поздняков А.А.</t>
  </si>
  <si>
    <t xml:space="preserve">Заказчик: ОАО «Иркутскэнерго»
664025, г. Иркутск, ул. Сухэ-Батора,3
Генеральный директор Причко О.Н. 
Филиал ОАО "Иркутскэнерго" Братская ГЭС
665709, г. Братск, а/я 783
тел.(3953) 323 359, факс 323 367
Директор филиала Вотенев  А.А.
Генподрядчик: ООО "НПФ "Ракурс"
198095, г. Санкт-Петербург, 
Химический пер.,  д.1 корп.2 
тел. (812) 252 32 44, 252 64 79
Генеральный директор Чернигов Л.М.
</t>
  </si>
  <si>
    <t xml:space="preserve">Работы по объекту филиала ОАО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3Г, ССМД 3Г с верхним уровнем, ЭГР 4Г, ССМД 4Г с верхним уровнем)
</t>
  </si>
  <si>
    <t>Заказчик: 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t>
  </si>
  <si>
    <t>Строительно-монтажные  и пусконаладочные работы по объекту филиала ОАО "Иркутскэнерго" Усть-Илимская ГЭС "Реконструкция агрегатных собственных нужд 0,4 кВ блока 2Т"</t>
  </si>
  <si>
    <t>Заказчик: ОАО «Иркутскэнерго»
664025, г. Иркутск, ул. Сухэ-Батора,3
Генеральный директор Причко О.Н.
Филиал ОАО "Иркутскэнерго" 
Усть-Илимская ТЭЦ
666684 Иркутская область, г.Усть-Илимск, а/я 330, тел. (39535) 9 53 59
Директор филиала Кровушкин А.В.</t>
  </si>
  <si>
    <t>Заказчик: ОАО «Иркутскэнерго»
664025, г. Иркутск, ул. Сухэ-Батора,3
Генеральный директор Причко О.Н
Филиал ОАО "Иркутскэнерго" Ново-Иркутская ТЭЦ   
664043, Иркутская область, г. Иркутск, бульвар Рябикова, 67, тел. (395-2) 795-309
Директор филиала Матлашевский Ю.А.</t>
  </si>
  <si>
    <t>Строительно-монтажные работы по объекту филиала ОАО "Иркутскэнерго" Ново-Иркутская ТЭЦ "Реконструкция ДЗШТ-220 кВ с заменой на микропроцессорные"</t>
  </si>
  <si>
    <t>ПС 220/110/35/6 кВ Коршуниха,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</si>
  <si>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Лапшаков В.А.</t>
  </si>
  <si>
    <t xml:space="preserve">Новая котельная каркасного типа отделения "Теплоэнерго", 
г. Елизово, Камчатский край
</t>
  </si>
  <si>
    <t>Реконструкция котельной №2 г.Елизово со строительством дополнительного газового энергоблока каркасного типа с блочным расположением оборудования с передачей нагрузок котельных №1 и №3. Первый пусковой комплекс</t>
  </si>
  <si>
    <t>Заказчик: ОАО "Группа "Илим"
191025, г. Санкт-Петербург, ул. Марата,17,
Филиал ОАО "Группа "Илим" в г. Братске, 665718, Иркутская обл., г. Братск
тел: (3953) 340106                                          Директор филиала Поздняков А.А.</t>
  </si>
  <si>
    <t>Электромонтажные работы  по полному восстановлению участков  шинопроводов №3,4 (ликвидации последствий после падения крана SKR-3500ОЭМ зав.№29) (отделение галереи шинопроводов 3,4 инв. №36201010000588)</t>
  </si>
  <si>
    <t>Заказчик: 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t>
  </si>
  <si>
    <t>Ремонт металлоконструкций стеллы УИГЭС  и площадки, прилегающей к зданию административно-производственного корпуса.</t>
  </si>
  <si>
    <t>Илимхимпром,
г. Братск, Иркутская область</t>
  </si>
  <si>
    <t xml:space="preserve">Заказчик: ЗАО "Илимхимпром"
665718, Иркутская обл. г. Братск, а/я 488
Генеральный директор Штанюк И.В. 
</t>
  </si>
  <si>
    <t>Ремонтно-восстановительные работы электрооборудования ячейки №37 ЗРУ-10 ГПП-3 и испытания по выявлению деффектов электрооборудования (инв. № 65489) в цехе № 5 ЗАО "Илимхимпром"</t>
  </si>
  <si>
    <t>Заказчик: 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t>
  </si>
  <si>
    <t>Усть-Илимская ТЭЦ,
г. Усть-Илимск, Иркутская область</t>
  </si>
  <si>
    <t>Комплекс работ на объекте филиала ОАО "Иркутскэнерго" Усть-Илимская ТЭЦ: "Модернизация сетевого насоса промплощадки с установкой частотно-регулируемого привода"</t>
  </si>
  <si>
    <t>Комплекс работ на объекте филиала ОАО "Иркутскэнерго" Усть-Илимская ТЭЦ: "Установка частотного регулируемого привода на рабочих машинах (насосах) ПКНС (инв.№24000053)"</t>
  </si>
  <si>
    <t>Комплекс работ на объекте филиала ОАО "Иркутскэнерго" Усть-Илимская ТЭЦ: "Установка частотного регулируемого привода на рабочих машинах (насосах) ГКНС (инв.№24000047)"</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</si>
  <si>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</si>
  <si>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</si>
  <si>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t>
  </si>
  <si>
    <t>Монтаж отопления; устройство теплового пункта; монтаж воздухоснабжения; монтаж трубопроводов аргона; устройство внутренних сетей водоснабжения и канализации</t>
  </si>
  <si>
    <t>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t>
  </si>
  <si>
    <t>Заказчик: 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t>
  </si>
  <si>
    <t>Строительно-монтажные работы по объекту филиала ОАО "Иркутскэнерго" Усть-Илимская ГЭС "Реконструкция устройств РЗА ВЛ 500 кВ Усть-Илимская ГЭС - Братская ГЭС (ВЛ571) с реализацией ОАПВ"</t>
  </si>
  <si>
    <t>ТЭЦ-6,
г. Братск, Иркутская область</t>
  </si>
  <si>
    <t xml:space="preserve">Заказчик: ОАО «Иркутскэнерго»
664025, г. Иркутск, ул. Сухэ-Батора,3
Генеральный директор Причко О.Н. 
Филиал ОАО "Иркутскэнерго" ТЭЦ-6
Иркутская область г. Братск-18, а/я 428 тел.(395-3) 45-60-25, (395-3) 49-13-59 
Директор филиала Коноплев С.И.
</t>
  </si>
  <si>
    <t>Строительно-монтажные работы на объекте филиала ОАО "Иркутскэнерго" ТЭЦ-6: "Кран мостовой г/п 30/5 тн. Тех. перевооружение электрооборудования и  кабины (инв.14800016081)"</t>
  </si>
  <si>
    <t xml:space="preserve">Заказчик: ОАО «Иркутскэнерго»
664025, г. Иркутск, ул. Сухэ-Батора,3
Генеральный директор Причко О.Н. 
Филиал ОАО "Иркутскэнерго" Братская ГЭС
665709, г. Братск, а/я 783
тел. (3953) 323 359, факс 323 367
Директор филиала Вотенев  А.А.
Генподрядчик: ООО "НПФ "Ракурс"
198095, г. Санкт-Петербург, 
Химический пер.,  д.1 корп.2 
тел. (812)252 32 44, 252 64 79
Генеральный директор Чернигов Л.М.
</t>
  </si>
  <si>
    <t>Заказчик: 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t>
  </si>
  <si>
    <t>Строительно-монтажные работы по объекту филиала ОАО "Иркутскэнерго" Усть-Илимская ГЭС "ОРУ 220-500 кВ. Реконструкция устройств РЗА ВЛ 572 на Усть-Илимской ГЭС с реализацией ОАПВ"</t>
  </si>
  <si>
    <t xml:space="preserve">ПС 110/10 кВ Еловка,
п. Мегет, Иркутская область  
</t>
  </si>
  <si>
    <t>Заказчик: ОАО «Иркутская электросетевая компания»
664033, г. Иркутск, ул. Лермонтова 257,
тел: (3952) 792-459
Генеральный директор  Каратаев Б.Н.
Филиал ОАО «Иркутская электросетевая компания» Центральные электрические сети
665812, Иркутская область, г. Ангарск, ул.Б.Хмельницкого, 22, тел.(3955)502740
Директор филиала  Старцев М.В.  Генподрядчик  ООО «ЕвроСибЭнерго-инжиниринг»
664050,г. Иркутск, ул. Байкальская, д. 259
тел.: (3952) 794-683, факс: (3952) 794-546
Генеральный директор Колокольцев А.А.</t>
  </si>
  <si>
    <t>Строительство ПС 110/10 кВ "Еловка" с 
заходами ВЛ-110 кВ "ТЭЦ-10 - Мегет" на ПС 110/10 кВ "Еловка"</t>
  </si>
  <si>
    <t>Братский Алюминиевый Завод,
г. Братск, Иркутская область</t>
  </si>
  <si>
    <t>Комплекс монтажных и пусконаладочных работ электротехнического оборудования  СГОУ №42 ОАО "РУСАЛ Братск"</t>
  </si>
  <si>
    <t xml:space="preserve">Заказчик: "РУСАЛ Братский Алюминиевый Завод" (ОАО "РУСАЛ Братск")
665716, Иркутская область, г.Братск-16
тел. (3953) 49-26-50                                          Директор Волвенкин А.Ю.
</t>
  </si>
  <si>
    <t>Заказчик ЗАО "Богучанский Алюминиевый Завод"
663467, Красноярский край, Богучанский р-н, Промплощадка Богучанского алюминиевого завода                                                                 Директор Шалак Г.Н.   
Генподрядчик: ООО "Альстом Грид-Русал электроинжиниринг"               
620017, г. Екатеринбург, пр. Космонавтов, 7                           тел. (343) 310 13 42              
Генеральный директор Ф.Пешу</t>
  </si>
  <si>
    <t>Выполнение приемо-сдаточных испытаний и пусконаладочных работ оборудования КПП-1 первой серии электролиза Богучанского алюминиевого завода</t>
  </si>
  <si>
    <t xml:space="preserve">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                                           </t>
  </si>
  <si>
    <t xml:space="preserve">Богучанская ГЭС, 
г. Кодинск, Кежемский район, Красноярский край
</t>
  </si>
  <si>
    <t>Заказчик: ОАО «Богучанская ГЭС»  
663491, г. Кодинск, стройбаза левого берега,   зд. 1, объединённая база №1, а/я 132 
тел. (39143) 3-10-00, 7-13-96
Генеральный директор Терешков Н.Н. Подрядчик: ЗАО "Институт автоматизации энергетических систем"
630132, г. Новосибирск,                                                ул. Железнодорожная, 12/1,                                             тел. (383) 363-02-65
Генеральный директор: Ландман А.К.</t>
  </si>
  <si>
    <t>ТЭЦ-6,
г. Братск,  Иркутская область</t>
  </si>
  <si>
    <t>Ремонт оборудования КИПиА ТЭЦ 6 ТИиТС (теплоисточники и теплосети)</t>
  </si>
  <si>
    <t>Непредвиденные работы и устранение деффектов на оборудовании цеха ТАИ ТЭЦ-6 ТИиТС в г. Братске</t>
  </si>
  <si>
    <t>ПС 110/10 кВ Северная, 
г. Петропавловск-Камчатский,   Камчатский  край</t>
  </si>
  <si>
    <t>Заказчик: ОАО "Камчатскэнерго" 
683000, г. Петропавловск-Камчатский 
ул. Набережная 10                    
тел: (4152) 421006, факс: (4152) 412026
Генеральный директор Кондратьев С.Б.</t>
  </si>
  <si>
    <t>Заказчик: ОАО "Группа "Илим"
191025, г. Санкт-Петербург, ул. Марата,17,
Филиал ОАО "Группа "Илим" в г. Братске, 665718, Иркутская обл., г. Братск
тел: (3953) 340106                                             Директор филиала Поздняков А.А.</t>
  </si>
  <si>
    <t>Работы по ликвидации последствий после падения крана SKR-3500 (отделение галереи шинопроводов №3,4) ЦЭС:  Монтаж кабеля дифференциальной защиты шинопроводов ШП 3,4 и резервного ввода РП-10; Пусконаладочные работы дифференциальной защиты резервного ввода РП-10, шинопроводов ШП 3,4; Электромонтажные работы по кабельной трассе ТЭЦ-6 РП-10; Испытание кабеля от  РП-10 до шинопроводов ШП 3,ШП-4</t>
  </si>
  <si>
    <t xml:space="preserve">Заказчик: ОАО «Иркутскэнерго»
664025, г. Иркутск, ул. Сухэ-Батора,3
Генеральный директор Причко О.Н. 
Филиал ОАО "Иркутскэнерго" Братская ГЭС
665709, г. Братск, а/я 783
тел. (3953)323 359, факс323 367
Директор филиала Вотенев А.А.
Генподрядчик: ООО "НПФ "Ракурс"
198095, г. Санкт-Петербург, 
Химический пер.,  д.1 корп.2 
тел. (812)252 32 44, 252 64 79
Генеральный директор Чернигов Л.М.
</t>
  </si>
  <si>
    <t xml:space="preserve">Работы по объекту филиала ОАО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7Г, ПТК ССМД 7Г с верхним уровнем, ЭГР 8Г, ССМД 8Г с верхним уровнем, ЭГР 9Г, ССМД 9Г с верхним уровнем)
</t>
  </si>
  <si>
    <t xml:space="preserve"> ПС 220 кВ Ангара, 
 п. Таежный,  Красноярский край
</t>
  </si>
  <si>
    <t>Заказчик: ОАО «Богучанская ГЭС»  
663491, г. Кодинск, стройбаза левого берега зд. 1, объединённая база №1, а/я 132 
тел.(39143) 3-10-00, 7-13-96
Генеральный директор Демченко В.В.</t>
  </si>
  <si>
    <t>Работы по монтажу шинных опор, монтажу ошиновки на ОРУ 220 кВ ПС "Ангара" для подключения ячеек №3-4</t>
  </si>
  <si>
    <t>ПС 500/220/35 кВ Озерная,                         г. Тайшет,  Иркутская область</t>
  </si>
  <si>
    <t xml:space="preserve">Заказчик: ОАО «Иркутская электросетевая компания»
664033, г. Иркутск, ул. Лермонтова 257,
тел: (3952) 792-459
Генеральный директор Каратаев Б.Н.             Подрядчик: ООО "Энергетический Стандарт" 119180, Москва, ул. Большая Якиманка, д.21
 тел. (499) 286-22-33, 286-22-44                    Генеральный директор Кузнецов Г.В.
     </t>
  </si>
  <si>
    <t>Заказчик: ОАО "Группа "Илим"
191025, г. Санкт-Петербург, ул. Марата,17,
Филиал ОАО "Группа "Илим" в г. Братске, 665718, РФ, Иркутская обл., г. Братск
Тел: (3953) 340106                                             Директор филиала Поздняков А.А.</t>
  </si>
  <si>
    <t>Электромонтажные и пусконаладочные работы  по выносу кабелей 6 кВ из кабельного тоннеля ЦЭС под землей от ХВО для реализации инвестиционного проекта "Приведение кабельного туннеля 6 кВ  в соответствие нормам и правилам"</t>
  </si>
  <si>
    <t>Заказчик: ОАО «Иркутскэнерго»
664025, г. Иркутск, ул. Сухэ-Батора,3
Генеральный директор Причко О.Н. 
Филиал ОАО "Иркутскэнерго" Братская ГЭС
665709, г. Братск, а/я 783
тел. (3953) 323 359, факс 323 367
Директор филиала Вотенев  А.А.</t>
  </si>
  <si>
    <t>Заказчик: ОАО «Богучанская ГЭС» в лице ЗАО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Волков И.А.</t>
  </si>
  <si>
    <t>Поставка материалов, осуществление монтажных  и пусконаладочных работ по второму этапу автоматизированной системы опроса контрольно-измерительной аппаратуры (АСО КИА) гидротехнических сооружений Богучанской ГЭС</t>
  </si>
  <si>
    <t>Заказчик: ОАО «Богучанская ГЭС»  
663491, г. Кодинск, стройбаза левого берега зд. 1, объединённая база №1, а/я 132 
тел. (39143) 3-10-00, 7-13-96
Генеральный директор Демченко В.В.</t>
  </si>
  <si>
    <t>Заказчик: ООО "Братский завод ферросплавов "
665716, Россия, Иркутская обл., г. Братск,          П 01 11 01 00, тел: (3953) 49-59-01
Управляющий директор  Прокопец В.Г.</t>
  </si>
  <si>
    <t>Текущий ремонт дозировочного отделения (инв. № 10600006).. Монтаж оборудования и кабельных связей ЩСУ.
Текущий ремонт дозировочного отделения (инв. № 10600006). Монтаж щита ЩСУ.</t>
  </si>
  <si>
    <t xml:space="preserve">Заказчик: ОАО «Иркутскэнерго»
664025, г. Иркутск, ул. Сухэ-Батора,3
Генеральный директор Причко О.Н. 
Филиал ОАО "Иркутскэнерго" Братская ГЭС
665709, г. Братск, а/я 783
тел.(3953) 323 359, факс 323 367
Директор филиала Вотенев  А.А.
Генподрядчик: ООО "НПФ "Ракурс"
198095, г. Санкт-Петербург, 
Химический пер.,  д.1 корп.2 
тел. (812)252 32 44, 252 64 79
Генеральный директор Чернигов Л.М.
</t>
  </si>
  <si>
    <t>Заказчик: ОАО «Иркутскэнерго»
664025, г. Иркутск, ул. Сухэ-Батора,3
Генеральный директор Причко О.Н. 
Филиал ОАО "Иркутскэнерго" 
Усть-Илимская ГЭС
666683, г. Усть-Илимск, Иркутской обл.,            а/я 958, тел. (39535) 95 859, 95 736
Директор филиала Кузнецов С.В.
Генподрядчик: ООО "Аргон"
666683, Иркутская область, г Усть-Илимск, ул. Героев Труда, д 49, кв. 85 
Директор Землякова Т.С.</t>
  </si>
  <si>
    <t>Комплекс работ по объекту филиала ОАО "Иркутскэнерго" Усть-Илимская ГЭС "Техническое перевооружение сегментного затвора водосливной секции бетонной плотины для обеспечения беспрепятственного маневрирования в период отрицательных температур 48ЛЭ №7"</t>
  </si>
  <si>
    <t>Поставка, монтаж и пусконаладка оборудования системы охранного освещения</t>
  </si>
  <si>
    <t>ПС 220/110/35/6 кВ Коршуниха,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</si>
  <si>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</si>
  <si>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Капитальный ремонт оборудования РЭС-1, СПС, для нужд Филиала ОАО "ИЭСК" Северные электрические сети</t>
  </si>
  <si>
    <t xml:space="preserve">ПС 500/220/110/35 кВ Иркутская,
г. Ангарск,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</si>
  <si>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Старцев М.В.
Генподрядчик  ООО «ЕвроСибЭнерго-инжиниринг»
664050,г. Иркутск, ул. Байкальская, д. 259
тел.: (3952) 794-683, факс: (3952) 794-546
Генеральный директор Колокольцев А.А.</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</si>
  <si>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t>
  </si>
  <si>
    <t>Пусконаладочные работы: Анодно-монтажное отделение (АМО); Литейный цех</t>
  </si>
  <si>
    <t>Группа Илим,                                                     г. Братск, Иркутская область</t>
  </si>
  <si>
    <t>Заказчик: ОАО "Группа "Илим"
191025, г. Санкт-Петербург, ул. Марата,17,
Филиал  ОАО "Группа "Илим" в г. Братске, 665718, Иркутская обл., г. Братск
тел: (3953) 340106,                                                 Директор филиала Поздняков А.А.
Генподрядчик: ООО "Инженерный центр "Энергосервис"
г. Архангельск, ул. Котласская, 26
тел. 65-75-65, 64-60-00
Генеральный директор Флейшман И.Л.</t>
  </si>
  <si>
    <t>Заказчик: ПАО «Иркутскэнерго»
664025, г. Иркутск, ул. Сухэ-Батора,3
Генеральный директор Причко О.Н. 
Филиал ПАО "Иркутскэнерго" Братская ГЭС
665709, г. Братск, а/я 783
тел. (3953)323 359, факс (3953)323 367 
Директор филиала Вотенев  А.А.
Генподрядчик: ООО "НПФ "Ракурс"
198095, г. Санкт-Петербург, 
Химический пер.,  д.1 корп.2 
тел. (812) 252 32 44, 252 64 79
Генеральный директор Чернигов Л.М.</t>
  </si>
  <si>
    <t xml:space="preserve">Работы по объекту филиала ПАО "Иркутскэнерго" Братская ГЭС "Комплексная система управления ГА для участия в АВРЧМ" (Строительно-монтажные  работы следующих комплексов: Терминал АРЧМ, ГРАРМ с верхним уровнем, ЭГР 13Г, ПТК ССМД 13Г с верхним уровнем, ЭГР 15Г, ССМД 15Г с верхним уровнем, ССМД 18Г с верхним уровнем, ЭГР 14Г)
</t>
  </si>
  <si>
    <t>ТЭЦ-10, 
г. Ангарск,  Иркутская область</t>
  </si>
  <si>
    <t>Заказчик: ОАО «Иркутскэнерго»
664025, г. Иркутск, ул. Сухэ-Батора,3
Генеральный директор Причко О.Н. 
Филиал ОАО "Иркутскэнерго" ТЭЦ-10
665828, Иркутская область, г. Ангарск,                 а/я 1199, тел.(3955) 501-359, 54-00-24  
Директор филиала Одяков И.Г.</t>
  </si>
  <si>
    <t>Строительно-монтажные работы по объекту филиала ОАО "Иркутскэнерго" ТЭЦ-10: "Аккумуляторная батарея №5. Замена ЩПТ-5 с аккумуляторной батареей (инв.№140148)"</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</si>
  <si>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t>
  </si>
  <si>
    <t>Заказчик: ОАО "Группа «Илим"
191025, г. Санкт-Петербург, ул. Марата,17,
Филиал  ОАО "Группа «Илим" в г. Братске, 665718, РФ, Иркутская обл., г. Братск
Тел: (3953) 340106                                               Директор филиала Поздняков А.А.</t>
  </si>
  <si>
    <t>Комплекс работ по объекту филиала ОАО "Иркутскэнерго" Усть-Илимская ГЭС "Модернизация (реконструкция) РЗА автотрансформаторов 1АТ, 2АТ"</t>
  </si>
  <si>
    <t>Культурно-просветительский центр (Храм), г. Братск, Иркутская область</t>
  </si>
  <si>
    <t>Заказчик: АНО "Возрождение"
665708, г. Братск, ж/р Центральный, ул. Мира, 32 
Генеральный директор Васильев А.М.</t>
  </si>
  <si>
    <t>Заказчик: ПАО «Иркутскэнерго»
664025, г. Иркутск, ул. Сухэ-Батора,3
Генеральный директор Причко О.Н. 
Филиал ПАО "Иркутскэнерго" Братская ГЭС
665709, г. Братск, а/я783
тел.(3953) 323 359, факс 323 367 
Директор филиала Вотенев  А.А.</t>
  </si>
  <si>
    <t>Заказчик: ПАО «Иркутскэнерго»
664025, г. Иркутск, ул. Сухэ-Батора,3
Генеральный директор Причко О.Н. 
Филиал ПАО "Иркутскэнерго" Братская ГЭС
665709, г. Братск, а/я783
факс (3953)323 367, тел. 323 359
Директор филиала Вотенев  А.А.</t>
  </si>
  <si>
    <t>Аварийный ремонт кабеля и строительных конструкций МВДТ 220 кВ 14ГТ. 15 ГТ, 16 ГТ</t>
  </si>
  <si>
    <t>Заказчик: ПАО «Иркутскэнерго»
664025, г. Иркутск, ул. Сухэ-Батора,3
Генеральный директор Причко О.Н. 
Филиал ПАО "Иркутскэнерго" Братская ГЭС
665709, г. Братск, а/я783
тел. (3953)323 359, факс323 367
Директор филиала Вотенев  А.А.
Генподрядчик: ООО "НПФ "Ракурс"
198095, г. Санкт-Петербург, 
Химический пер.,  д.1 корп.2 
тел. (812)252 32 44, 252 64 79
Генеральный директор Чернигов Л.М.</t>
  </si>
  <si>
    <t>Заказчик: ПАО «Иркутскэнерго»
664025, г. Иркутск, ул. Сухэ-Батора,3
Генеральный директор Причко О.Н.
Филиал ПАО "Иркутскэнерго" 
Усть-Илимская ТЭЦ
666684, Иркутская область, г.Усть-Илимск, а/я 330, тел. (39535) 9 53 59
Директор филиала Кровушкин А.В.</t>
  </si>
  <si>
    <t>Ремонт воздушной линии электропередач 0,4 кВ станции насосов осветленной воды</t>
  </si>
  <si>
    <t>ПС 110/10 кВ Северная, 
г.Братск,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</si>
  <si>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</si>
  <si>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ПС Ново-Зиминская,  БПП 500 кВ, 
Иркутская область</t>
  </si>
  <si>
    <t>Заказчик: ОАО «Иркутская электросетевая компания»
664033, г. Иркутск, ул. Лермонтова 257,
тел: (3952) 792-459
Генеральный директор Б.Н. Каратаев
Генподрядчик  ООО «ЕвроСибЭнерго-инжиниринг» 
664050,г. Иркутск, ул. Байкальская, д. 259
тел.: (3952) 794-683, факс: (3952) 794-546 Генеральный директор Колокольцев А.А.
Подрядчик ООО "Инженерный центр "Иркутскэнерго",
г. Иркутск, б-р Рябикова 67, 
тел. (3952) 790-711, факс (3952) 790-742 
Директор Моисеев Т.В.</t>
  </si>
  <si>
    <t>Строительно-монтажные работы по объекту ОАО "ИЭСК": "Реконструкция устройств РЗА ВЛ 500 кВ №560 Братский ПП - ПС Ново-Зиминская на ПС Новозиминская и Братском ПП 500 кВ с реализацией ОАПВ"</t>
  </si>
  <si>
    <t xml:space="preserve">ПС 220 кВ БЦБК,
г. Байкальск, Иркутская область 
</t>
  </si>
  <si>
    <t>Заказчик: ОАО «Иркутская электросетевая компания»
664033, г. Иркутск, ул. Лермонтова 257,
тел: (3952) 792-459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Черняков В.И
Генподрядчик  ООО «ЕвроСибЭнерго-инжиниринг» 
 664050,г. Иркутск, ул. Байкальская, д. 259
тел.: (3952) 794-683, факс: (3952) 794-546 Генеральный директор Колокольцев А.А.
Подрядчик: АО "Энергетические технологии"
664033, г. Иркутск, ул. Лермонтова, 130,     оф. 110, тел.: (3952) 423-523
Генеральный директор Черных О.Г.</t>
  </si>
  <si>
    <t xml:space="preserve">Комплекс работ  по 
реконструкции ПС 220 кВ "БЦБК" (РЗА, ЩПТ, ЩСН)
</t>
  </si>
  <si>
    <t>Заказчик: ОАО "Группа "Илим"
191025, г. Санкт-Петербург, ул. Марата,17,
Филиал ОАО "Группа "Илим" в г. Братске, 665718, РФ, Иркутская обл., г. Братск
Тел: (3953) 340106,                                           Директор филиала Поздняков А.А.</t>
  </si>
  <si>
    <t>Заказчик: ОАО "Группа "Илим"
191025, г. Санкт-Петербург, ул. Марата,17,
Филиал ОАО "Группа "Илим" в г. Братске, 665718, Иркутская обл., г. Братск
тел: (3953) 340106,                                           Директор филиала Поздняков А.А.</t>
  </si>
  <si>
    <t>ПС 35/10 кВ Морозная,
г. Елизово, Камчатский край</t>
  </si>
  <si>
    <t>Заказчик: ОАО "Камчатскэнерго" 
683000 г. Петропавловск-Камчатский 
ул. Набережная 10                    
тел: (4152) 421006, факс: (4152) 412026
Генеральный директор Кондратьев С.Б.</t>
  </si>
  <si>
    <t>Комплектация оборудования и материалов, строительно-монтажные и пусконаладочные работы ПС 35/10 кВ Морозная по титулу:  "Реконструкция инфраструктуры лыжного и горнолыжного комплекса Камчатского края. Горнолыжная база "Морозная" г. Елизово"</t>
  </si>
  <si>
    <t xml:space="preserve">Седановский переключательный пункт 220/6 кВ (СПП 220/6 кВ),                                     п. Седаново, Братский район,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</si>
  <si>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</si>
  <si>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 xml:space="preserve">Строительно-монтажные и пусконаладочные работы по объекту: «Реконструкция ВЛ 220 кВ 1 цепь Седановский переключательный пункт - Богучанская ГЭС с переводом ее на напряжение 35 кВ; ПС 220/35 кВ Джижива и СПП 220/6" с поставкой оборудования
</t>
  </si>
  <si>
    <t>Заказчик: ОАО "Группа "Илим"
191025, г. Санкт-Петербург, ул. Марата,17,
Филиал ОАО "Группа "Илим" в г. Братске, 665718, РФ, Иркутская обл., г. Братск
Тел: (3953) 340106,                                         Директор филиала Паньшин А.В.</t>
  </si>
  <si>
    <t>Заказчик: ОАО "Группа "Илим"
191025, г. Санкт-Петербург, ул. Марата,17,
Филиал ОАО "Группа "Илим" в г. Братске, 665718, Иркутская обл., г. Братск
тел: (3953) 340106,                                           Директор филиала Паньшин А.В.</t>
  </si>
  <si>
    <t>Заказчик: ПАО «Иркутскэнерго»
664025, г. Иркутск, ул. Сухэ-Батора,3
Генеральный директор Причко О.Н. 
Филиал ПАО "Иркутскэнерго" Братская ГЭС
665709, г. Братск, а/я 783
тел.(3953)323 359, факс 323 367 
Директор филиала Вотенев  А.А.</t>
  </si>
  <si>
    <t>Заказчик: ОАО «Иркутскэнерго»
664025, г. Иркутск, ул. Сухэ-Батора,3
Генеральный директор Федоров Е.В. 
Филиал ОАО "Иркутскэнерго" Братская ГЭС
665709, г. Братск, а/я 783
тел. (3953) 323 359, факс 323 367 
Директор филиала Вотенев А.А.
Подрядчик ООО "Инженерный центр "Иркутскэнерго",
г. Иркутск, б-р Рябикова 67, 
тел. (3952) 790-711, факс (3952) 790-742 
Директор Моисеев Т.В.</t>
  </si>
  <si>
    <t xml:space="preserve">Комплекс работ по объекту филиала ПАО «Иркутскэнерго» Братская ГЭС: «Модернизация маслоподпитывающих установок кабельных линий МВДТ-220 Братской ГЭС. Этап № 1» 
</t>
  </si>
  <si>
    <t xml:space="preserve">ПС 220/10/6 кВ Бытовая,
г. Иркутск
</t>
  </si>
  <si>
    <t xml:space="preserve">Разработка проектной и рабочей документации, инженерные изыскания, строительно-монтажные, пусконаладочные работы, поставка оборудования по объекту: «Реконструкция ПС 220 кВ Бытовая (замена Т-1 и Т-2 на 63 МВА, перевод нагрузки 1, 2 СШ-6 кВ на 3,4 СШ-6 кВ)» </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</si>
  <si>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                             Подрядчик: ООО "Альстом Грид-Русал электроинжиниринг"               
620017, г. Екатеринбург, пр. Космонавтов, 7 тел. (343) 310 13 42              
Генеральный директор Пешу Ф.</t>
  </si>
  <si>
    <t>Заказчик: ОАО "Группа "Илим"
191025, г. Санкт-Петербург, ул. Марата,17,
Филиал ОАО "Группа "Илим" в г. Братске, 665718, Иркутская обл., г. Братск
тел: (3953) 340106,                                               Директор филиала Паньшин А.В.</t>
  </si>
  <si>
    <t>Заказчик: ПАО «Иркутскэнерго»
664025, г. Иркутск, ул. Сухэ-Батора,3
Генеральный директор Причко О.Н.
Филиал ПАО "Иркутскэнерго" Иркутская ГЭС 
664056, г. Иркутск, Иркутская ГЭС, а/я 3408
тел.(3952)793-859, факс:(3952)793-856
Директор филиала Алдошин И.Н.</t>
  </si>
  <si>
    <t>Заказчик: ОАО «Богучанская ГЭС»  
663491, г. Кодинск, стройбаза левого берега. Зд. 1, объединённая база №1 а/я 132 
тел.(39143) 3-10-00, 7-13-96
Генеральный директор Демченко В.В.</t>
  </si>
  <si>
    <t>Заказчик: ПАО «Иркутскэнерго»
664025, г. Иркутск, ул. Сухэ-Батора,3
Генеральный директор Причко О.Н. 
Филиал ПАО "Иркутскэнерго" Братская ГЭС
665709, г. Братск, а/я 783
тел. (3953) 323 359, факс 323 367 
Директор филиала Вотенев  А.А.
Генподрядчик: ООО "НПФ "Ракурс"
198095, г. Санкт-Петербург, 
Химический пер.,  д.1, корп.2 
тел. (812)252 32 44, 252 64 79
Генеральный директор Чернигов Л.М.</t>
  </si>
  <si>
    <t>Заказчик: ОАО «Богучанская ГЭС» в лице 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Волков И.А.</t>
  </si>
  <si>
    <t>Комплекс работ по монтажу и вводу в промышленную эксплуатацию системы электроснабжения и управления струегенераторами рыбозащитного комплекса Богучанской ГЭС</t>
  </si>
  <si>
    <t xml:space="preserve">Усть-Илимская ТЭЦ,
Иркутская область, г. Усть-Илимск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</si>
  <si>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тел. 8(3955)502740
Генподрядчик  ООО «ЕвроСибЭнерго-инжиниринг»
664050,г. Иркутск, ул. Байкальская, д. 259
тел.: (3952) 794-683, факс: (3952) 794-546
Генеральный директор Колокольцев А.А.</t>
  </si>
  <si>
    <t xml:space="preserve">Комплекс работ для реконструкции объекта "ПС 220/110 кВ Шелехово (реконструкция)" в составе: "Замена выключателей 220, 110 кВ"
</t>
  </si>
  <si>
    <t>Электростанция 72 МВт в районе УПН Ярактинского НГКМ, Усть-Кутский район, Иркутская область</t>
  </si>
  <si>
    <t>Заказчик: Общество с ограниченной ответственностью «Иркутская нефтяная компания» (ООО «ИНК»)                                   664000, г.Иркутск, пр. Большой Литейный, 4  Генеральный директор: Седых М.В.
Генподрядчик: ООО «Инженерный центр «Энергосервис»                                                111024, г.Москва, ул. Авиамоторная, д.44, строение 1, помещение 1 А, комната 1                                          Генеральный  директор Флейшман И. Л.</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</si>
  <si>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t>
  </si>
  <si>
    <t xml:space="preserve">Пусконаладочные работы. Автоматическая линия монтажа анодов с линией ремонта анододержателей; Основной энергоузел А. Автоматическая линия монтажа анодов с линией ремонта анододержателей; Основной энергоузел В. Автоматическая линия монтажа анодов с линией ремонта анододержателей. </t>
  </si>
  <si>
    <t>Заказчик: ОАО "Группа "Илим"
191025, г. Санкт-Петербург, ул. Марата,17,
Филиал ОАО "Группа "Илим" в г. Братске, 665718, Иркутская обл., г. Братск
тел: (3953) 340106,                                         Директор филиала Паньшин А.В.</t>
  </si>
  <si>
    <t>Электромонтажные работы для реализации инвестиционного проекта: "Приобретение и замена масляного трансформатора ТРДЦН 80000/110". Хлорное производство.</t>
  </si>
  <si>
    <t>Муниципальное автономное учреждение культуры «Театрально-концертный центр «Братск-АРТ»,
г. Братск, Иркутская область</t>
  </si>
  <si>
    <t>Заказчик: МАУК «ТКЦ Братск-АРТ»
665729, Иркутская область, г. Братск,
ж/р Центральный, пр. Ленина, д.28
Директор Смолина С.А.</t>
  </si>
  <si>
    <t>Заказчик: ПАО «Иркутскэнерго»
664025, г. Иркутск, ул. Сухэ-Батора,3
Генеральный директор Причко О.Н.
Филиал ПАО "Иркутскэнерго" Иркутская ГЭС 
664056, г. Иркутск, Иркутская ГЭС, а/я 3408
тел. (3952)793-859, факс: (3952)793-856
Директор филиала Алдошин И.Н.</t>
  </si>
  <si>
    <t>Заказчик: ОАО «Богучанская ГЭС» в лице 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Волков И.А.</t>
  </si>
  <si>
    <t>Заказчик: ПАО «Иркутскэнерго»
664025, г. Иркутск, ул. Сухэ-Батора,3
Генеральный директор Причко О.Н.
Филиал ПАО "Иркутскэнерго" 
Усть-Илимская ТЭЦ
666684 Иркутская область, г.Усть-Илимск, а/я 330, тел. (39535) 9 53 59
Директор филиала Кровушкин А.В.</t>
  </si>
  <si>
    <t xml:space="preserve">ТЭЦ-16, 
г. Железногорск-Илимский, Иркутская область
</t>
  </si>
  <si>
    <t>Заказчик: ПАО «Иркутскэнерго»
664025, г. Иркутск, ул. Сухэ-Батора,3
Генеральный директор Причко О.Н.
Филиал ПАО "Иркутскэнерго" ТЭЦ-16
665651 Иркутская область, г. Железногорск-Илимский, 1 п/о, а/я 18, 
тел.(39566) 2-61-59, (39566) 2-61-59
Директор филиала Черкасов С.И.</t>
  </si>
  <si>
    <t>ПС 110/10 кВ Причал, 
г. Усть-Кут, Иркутская область</t>
  </si>
  <si>
    <t xml:space="preserve">Заказчик: Общество с ограниченной ответственностью «Транс-Сибирская лесная компания» (ООО «ТСЛК»)
664011, РФ, г. Иркутск, ул. Рабочая, 2А,             оф. 411, а/я 191
тел./факс (3952) 78-01-26/ 78-01-25
Генеральный директор Котик П. И.
</t>
  </si>
  <si>
    <t>Комплекс работ по объекту: «Техническое перевооружение РУ 10 кВ ПС 110/10 кВ «Причал» в связи с увеличением отбора мощности субабонентом ООО «ТСЛК»</t>
  </si>
  <si>
    <t xml:space="preserve">Строительство ПС 35/10 кВ Мегет для электроснабжения п. Мегет Ангарского городского округа, Иркутской области  </t>
  </si>
  <si>
    <t>ОАО "Группа "Илим"
191025, г. Санкт-Петербург, ул. Марата,17,
Филиал ОАО "Группа "Илим" в г. Братске, 665718, Иркутская обл., г. Братск
тел: (3953) 340106,                                              Директор филиала Паньшин А.В.</t>
  </si>
  <si>
    <t>Строительно- монтажные и пусконаладочные работы по электроснабжению каркасных зданий, административно-бытового корпуса (АБК-1) и  первоочередного оборудования производственного корпуса хозяйственного двора БоГЭС</t>
  </si>
  <si>
    <t>Заказчик: ПАО «Иркутскэнерго»
664025, г. Иркутск, ул. Сухэ-Батора,3
Генеральный директор Причко О.Н.
Филиал ПАО "Иркутскэнерго" ТЭЦ-16
665651, Иркутская область, г. Железногорск-Илимский, 1 п/о, а/я 18
тел.(39566) 2-61-59, (39566) 2-61-59
Директор филиала Черкасов С.И.</t>
  </si>
  <si>
    <t>Тайшетский Алюминиевый Завод,                      с. Старый Акульшет, Тайшетский район, Иркутская область</t>
  </si>
  <si>
    <t>Заказчик: Общество с ограниченной ответственностью "РУСАЛ Тайшетский Алюминиевый Завод" (ООО РУСАЛ Тайшет")
665023, Иркутская обл., Тайшетский р-н, с.Старый Акульшет, ул.Советская, д.41 Генеральный директор Голов А.С.                     Подрядчик: ООО "Альстом Грид-Русал электроинжиниринг"               
620017, г. Екатеринбург, пр. Космонавтов, 7 тел. (343) 310 13 42              
Генеральный директор Пешу Ф.</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</si>
  <si>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Генеральный директор Юшманов А.В.</t>
  </si>
  <si>
    <t>Монтаж комплектной трансформаторной подстанции КТП 2-5, КТП 4-3, КТП 9-1 (9-2), КТП 9-5, КТП 9-8, устройство межцеховых кабельных сетей "ЮГ" и "СЕВЕР"</t>
  </si>
  <si>
    <t>Группа Илим, 
г. Братск, Иркутская область</t>
  </si>
  <si>
    <t>Заказчик: ОАО "Группа "Илим"
191025, г. Санкт-Петербург, ул. Марата,17,
Филиал ОАО "Группа "Илим" в г. Братске, 665718, Иркутская обл., г. Братск
тел: (3953) 340106,                                             Директор филиала Паньшин А.В.</t>
  </si>
  <si>
    <t>Работы по монтажу монорельсов, металлоконструкций для грузоподъемных  механизмов для механизации, в рамках проекта: "Техническое перевооружение котла Е-75-40К ст.№16"</t>
  </si>
  <si>
    <t xml:space="preserve">Заказчик: ООО "Братский завод ферросплавов"
665716, Иркутская обл., г. Братск,                          П 01 11 01 00, тел: (3953) 49-59-01
Управляющий директор Прокопец В.Г. </t>
  </si>
  <si>
    <t>Заказчик: ПАО «Иркутскэнерго»
664025, г. Иркутск, ул. Сухэ-Батора,3
Генеральный директор Причко О.Н. 
Филиал ПАО "Иркутскэнерго" Братская ГЭС
665709, г. Братск, а/я 783
тел. (3953) 323 359, факс 323 367
Директор филиала Вотенев  А.А.</t>
  </si>
  <si>
    <t>Строительно-монтажные работы на объекте филиала ПАО «Иркутскэнерrо» Усть-Илимская ТЭЦ: "Модернизация шатров надземной части галереи ЛК-6 (инв№02001203), ЛК-8 (инв№02001205 УИТЭЦ в г. Усть-Илимск"</t>
  </si>
  <si>
    <t>ПС  № 6,
г. Усть-Илимск,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</si>
  <si>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</si>
  <si>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ЮЭС Прошутинский А.Л.</t>
  </si>
  <si>
    <t xml:space="preserve">СМР, пусконаладочные работы, поставка оборудования по объекту: "Реконструкция ПС 220 кВ Байкальская (монтаж 3 и 4 секции шин 10 кВ)" (инв.№ 500014270) 
</t>
  </si>
  <si>
    <t xml:space="preserve">ПС 220/10/6 кВ Бытовая, 
г. Иркутск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</si>
  <si>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Прошутинский А.Л.</t>
  </si>
  <si>
    <t>НПС-3 трубопроводной системы «Восточная Сибирь - Тихий океан»,
Иркутская область</t>
  </si>
  <si>
    <t xml:space="preserve">Заказчик: ПАО Транснефть                    123112 г.Москва, Пресненская набережная д.4 стр.2, тел. (495) 950-81-78                Президент: Токарев Н.П.                                                  Подрядчик: ООО «Электроремонтная компания» (ООО «ЭРК»)
620012, Свердловская область, 
г. Екатеринбург, площадь Первой Пятилетки, а/я 206, тел./факс (343) 272-74-75
Директор Скоринов А.В. 
</t>
  </si>
  <si>
    <t>Заказчик: ЗАО «Братская электросетевая компания»
65710,Иркутская область,  г. Братск, ул.Дружбы,45 
Генеральный директор Кабаев С.И.</t>
  </si>
  <si>
    <t>Шелеховский Алюминиевый Завод, г. Шелехов, Иркутская область</t>
  </si>
  <si>
    <t>ООО "РУС-инжиниринг"
Филиал в г. Шелехов
666033, Иркутская область, г. Шелехов, ул. Индустриальная, 4
Руководитель филиала Мазуренко В.В.</t>
  </si>
  <si>
    <t>Группа Илим,                                                  г. Усть-Илимск, Иркутская область</t>
  </si>
  <si>
    <t>Заказчик: ОАО "Группа Илим"
191025, г. Санкт-Петербург, ул. Марата,17,
Филиал  ОАО "Группа Илим" в г. Усть-Илимске                                                                       666684, Иркутская область, г. Усть-Илимск, промышленная площадка ЛПК
тел. (39535) 93194                                              Директор филиала Сизов С.Е.</t>
  </si>
  <si>
    <t xml:space="preserve">УПК-500 Тыреть, 
п. Тыреть,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</si>
  <si>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Старцев М.В.  
Генподрядчик  ООО «ЕвроСибЭнерго-инжиниринг»
 664050,г. Иркутск, ул. Байкальская, д. 259
тел.: (3952) 794-683, факс: (3952) 794-546
Генеральный директор Колокольцев А.А.</t>
  </si>
  <si>
    <t>Трансформаторная подстанция объекта ОРЛ-Т, г. Елизово, Камчатский край</t>
  </si>
  <si>
    <t xml:space="preserve">Заказчик: Федеральное государственное унитарное предприятие «Государственная корпорация по организации воздушного движения в Российской Федерации» (ФГУП «Госкорпорация по ОрВД»), 
филиал «Камчатаэронавигация»
684000, г. Елизово, Камчатский край, ул. Мурманская, д.2
Директор филиала Новожонов Е.В.
</t>
  </si>
  <si>
    <t>Текущий ремонт трансформаторной подстанции объекта ОРЛ-Т (обзорный трассовый радиолокатор)</t>
  </si>
  <si>
    <t xml:space="preserve">Богучанский Алюминиевый Завод, 
п. Таёжный,  Красноярский край
</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</si>
  <si>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Генеральный директор Юшманов А.В.</t>
  </si>
  <si>
    <t>Заказчик: ОАО "Группа "Илим"
191025, г. Санкт-Петербург, ул. Марата,17,
Филиал ОАО "Группа "Илим" в г. Братске, 665718, Иркутская обл., г. Братск
тел: (3953) 340106,                                                    Директор филиала Паньшин А.В.</t>
  </si>
  <si>
    <t xml:space="preserve">Архитектурно-этнографический музей «Ангарская деревня»,
г. Братск, Иркутская область
 </t>
  </si>
  <si>
    <t>Работы по монтажу кабельной линии (2 этап) на архитектурных объектах АЭМ «Ангарская деревня»</t>
  </si>
  <si>
    <t xml:space="preserve">Заказчик: МБУК «БГОМ истории освоения Ангары» 665717, Иркутская область, 
г. Братск, ул. Комсомольская, 38                      Директор Маржинян Е.Г.
</t>
  </si>
  <si>
    <t xml:space="preserve">МБУК «БГОМ истории освоения Ангары» 665717, Иркутская область, 
г. Братск, ул. Комсомольская, 38                   Директор Маржинян Е.Г.
</t>
  </si>
  <si>
    <t xml:space="preserve">МБУК «БГОМ истории освоения Ангары» 665717, Иркутская область, 
г. Братск, ул. Комсомольская, 38                    Директор Маржинян Е.Г.
</t>
  </si>
  <si>
    <t>Работы по изготовлению и монтажу устройств грозозащиты на архитектурных объектах АЭМ «Ангарская деревня»</t>
  </si>
  <si>
    <t>Работы по монтажу кабельной линии (1 этап) на архитектурных объектах АЭМ «Ангарская деревня»</t>
  </si>
  <si>
    <t>Заказчик: ОАО «Иркутскэнерго»
664025, г. Иркутск, ул. Сухэ-Батора,3
Генеральный директор  Федоров Е.В. 
Филиал ОАО "Иркутскэнерго" Братская ГЭС
665709, г. Братск, а/я 783
тел. (3953) 323 359, факс 323 367
Директор филиала Вотенев  А.А.
Подрядчик ООО "Инженерный центр "Иркутскэнерго",
г. Иркутск, б-р Рябикова 67, 
тел. (3952) 790-711, факс (3952) 790-742 
Директор Моисеев Т.В.</t>
  </si>
  <si>
    <t>СМР по объекту "Внедрение цифрового регистратора аварийных процессов блоков 220 кВ, 500 кВ Братской ГЭС"</t>
  </si>
  <si>
    <t>Заказчик: ПАО «Иркутскэнерго»
664025, г. Иркутск, ул. Сухэ-Батора,3
Генеральный директор Причко О.Н. 
Филиал ПАО "Иркутскэнерго" 
Усть-Илимская ГЭС
666683, г. Усть-Илимск, Иркутской обл.,            а/я 958, тел. (39535) 95 859, 95 736
Директор филиала Кузнецов С.В.</t>
  </si>
  <si>
    <t>Замена рабочих колес Усть-Илимской ГЭС (вывозка рабочих колес из машинного зала на площадку временного хранения) по объектам основных средств:  ГИДРОТУРБИНА  10 ЗАВ.614, инвентарный номер УИГ_00040037 и ГИДРОТУРБИНА  12 ЗАВ*.616,  инвентарный номер №УИГ_0004003</t>
  </si>
  <si>
    <t>Электромонтажные и пусконаладочные  работы по переносу ящиков управления задвижками для реализации инвестиционного проекта: "Реконструкция насосной станции промышленных стоков №4 (НСП-4)"  ПВиИК</t>
  </si>
  <si>
    <t xml:space="preserve">Электромонтажные и пусконаладочные  работы  по замене силовых трансформаторов в ТП-63 ПХЦ для реализации инвестиционного проекта "Установка новых трансформаторов взамен трансформаторов ТП-63" УЭС
</t>
  </si>
  <si>
    <t>Пусконаладочные работы по проверке и настройке релейной защиты агрегатов выпрямительных агрегатов: ВАКВ 25000/450 без трансформатора (Инв.№ 36201040017362), ВАКВ 32000/600 (Инв.№№ 362010400117079, 36201040017081, 36201040017083) в цехе энергоснабжения (ЦЭС) ХП</t>
  </si>
  <si>
    <t xml:space="preserve">Седановский переключательный пункт 220/6 кВ (СПП 220/6 кВ),                                     п. Седаново, Братский район,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</si>
  <si>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
Генподрядчик  ООО «ЕвроСибЭнерго-инжиниринг»
664050,г. Иркутск, ул. Байкальская, д. 259
тел. (3952) 794-683, факс (3952) 794-546
Генеральный директор Колокольцев А.А.</t>
  </si>
  <si>
    <t>Комплекс работ по объекту: "Реконструкция ВЛ 220 кВ 1 цепь Седановский переключательный пункт Богучанская ГЭС с переводом ее на напряжение 35 кВ; ПС 220/35 Джижива и СПП". Строительно-монтажные, пусконаладочные работы, поставка и комплектация Объекта материалами в соответствии с техническими решениями</t>
  </si>
  <si>
    <t xml:space="preserve"> ПС 110/10/6 кВ РКК-2, 
Иркутская область</t>
  </si>
  <si>
    <t xml:space="preserve">Заказчик: ОАО «Иркутская электросетевая компания»
664033, г. Иркутск, ул. Лермонтова 257,
тел: (3952) 792-459, факс: (3952) 792-461 Генеральный директор Каратаев Б.Н.
Подрядчик: ООО «АвангардЭнерго»
664043, г. Иркутск, ул. Сергеева, 3/1, оф. 325, тел. (3952) 48-58-56
Директор Ратахин М.Д. </t>
  </si>
  <si>
    <t>ПС 220/110/35/10 кВ Быстринская,
Газимуро-заводской район, Забайкальский край</t>
  </si>
  <si>
    <t xml:space="preserve">Заказчик: ПАО «ФСК ЕЭС» 
117630, г. Москва, ул. Академика Челомея, д.5А.    
Филиал ПАО «ФСК ЕЭС»- МЭС Сибири.
660099, Красноярский край, Красноярск, ул. Ады Лебедевой, 117 Тел. (391) 265-95-00  Генеральный директор Зильберман С.М.
Генподрядчик: ООО «Проектно-строительное предприятие «Энергия» 
197022, г. Санкт-Петербург,
ул. Инструментальная, д. 3, лит. К 2,    тел./факс (812) 380-25-87
Генеральный директор  Подзолов С.А.
</t>
  </si>
  <si>
    <t xml:space="preserve">Заказчик: ПАО Транснефть                    123112 г.Москва, Пресненская набережная д.4 стр.2, тел. (495) 950-81-78                                 Президент: Токарев Н.П.                           Подрядчик: ООО «Электроремонтная компания» (ООО «ЭРК»)
620012,  РФ, Свердловская область, 
г. Екатеринбург, площадь Первой Пятилетки, а/я 206, тел./факс (343) 272-74-75 
Директор Скоринов А.В. </t>
  </si>
  <si>
    <t>ГНПС Тайшет трубопроводной системы Восточная Сибирь - Тихий океан, 
г. Тайшет, Иркутская область</t>
  </si>
  <si>
    <t>ТП Даурия,
Забайкальский край</t>
  </si>
  <si>
    <t>Заказчик: АО "Группа «Илим"
191025, г. Санкт-Петербург, ул. Марата,17,
Филиал АО "Группа "Илим" в г. Братске, 665718, РФ, Иркутская обл., г. Братск
тел: (3953) 340106,                                              Директор филиала Паньшин А.В.</t>
  </si>
  <si>
    <t xml:space="preserve">Братский завод ферросплавов,
г. Братск, Иркутская область
</t>
  </si>
  <si>
    <t>МАУК «ТКЦ Братск-АРТ»
665729, Иркутская область, г. Братск,
ж/р Центральный, пр. Ленина, д.28
Директор Смолина С.А.</t>
  </si>
  <si>
    <t xml:space="preserve">ПС 500/220/10 кВ БПП (Братский переключательный пункт), 
п.Турма,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</si>
  <si>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
Генподрядчик  ООО «ЕвроСибЭнерго-инжиниринг»
 664050,г. Иркутск, ул. Байкальская, д. 259
тел.(3952) 794-683, факс (3952) 794-546
Генеральный директор Юшманов В.П.</t>
  </si>
  <si>
    <t xml:space="preserve">Выполнение комплекса работ по объекту: «Расширение ОРУ-220 кВ БПП-500 с установкой двух дополнительных ячеек             220 кВ" 
</t>
  </si>
  <si>
    <t xml:space="preserve">ПС 500/220/110/35/10/6 кВ Иркутская,
г. Ангарск,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</si>
  <si>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Старцев М.В.  Генподрядчик  ООО «ЕвроСибЭнерго-инжиниринг»
664050,г. Иркутск, ул. Байкальская, д. 259
тел. (3952) 794-683, факс: (3952) 794-546
Генеральный директор Юшманов В.П.</t>
  </si>
  <si>
    <t>Комплекс работ по объекту: "ПС-50/220/110/35/10/6 кВ "Иркутская". Замена МВ-220 № 1 АТ-10, МВ-220 кВ № 2 АТ на элегазовые" на баковый элегазовый выключатель на ПС "Иркутская</t>
  </si>
  <si>
    <t>ПС 500/220/35 кВ Озерная,
г. Тайшет,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</si>
  <si>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
Генподрядчик  ООО «ЕвроСибЭнерго-инжиниринг»
 664050,г. Иркутск, ул. Байкальская, д. 259
тел.: (3952) 794-683, факс: (3952) 794-546
Генеральный директор Юшманов В.П.</t>
  </si>
  <si>
    <t xml:space="preserve">Котельная школы,
п. Новодолоново, Братский район, Иркутская область
 </t>
  </si>
  <si>
    <t xml:space="preserve">Заказчик: Администрация муниципального образования «Братский район»
665770, Иркутская область, Братский район, г. Вихоревка, ул. Дзержинского, 105.
тел. +7(3953) 41-21-70,  +7(3953) 41-21-75
Мэр Братского района Баловнев А.С. 
</t>
  </si>
  <si>
    <t>Изготовление металлических конструкции для  здания котельной в п.Новодолоново Братского района (1-я очередь работ по реконструкции здания)</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</si>
  <si>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                                 Подрядчик: ООО "Альстом Грид-Русал электроинжиниринг"               
620017, г. Екатеринбург, пр. Космонавтов, 7 тел. (343) 310 13 42              
Генеральный директор Пешу Ф.</t>
  </si>
  <si>
    <t xml:space="preserve">Братская ГЭС, 
г. Братск,  Иркутской области </t>
  </si>
  <si>
    <t>Заказчик: ПАО «Иркутскэнерго»
664025, г. Иркутск, ул. Сухэ-Батора,3
Генеральный директор Причко О.Н. 
Филиал ПАО "Иркутскэнерго" Братская ГЭС
665709, г. Братск, а/я 783
 тел. (3953) 323 359, факс (3953)323 367,
Директор филиала Вотенев  А.А.</t>
  </si>
  <si>
    <t xml:space="preserve">Братская ГЭС,  
г. Братск,  Иркутской области </t>
  </si>
  <si>
    <t>Заказчик: ПАО «Иркутскэнерго»
664025, г. Иркутск, ул. Сухэ-Батора,3
Генеральный директор Причко О.Н. 
Филиал ПАО "Иркутскэнерго" Братская ГЭС
665709, г. Братск, а/я 783
тел. (3953) 323 367, 
Директор филиала Вотенев  А.А.
Генподрядчик: ООО "НПФ "Ракурс"
198095, г. Санкт-Петербург, 
Химический пер.,  д.1 корп.2 
тел. (812)252 32 44, 252 64 79
Генеральный директор Чернигов Л.М.</t>
  </si>
  <si>
    <t>Заказчик: ПАО «Иркутскэнерго»
664025, г. Иркутск, ул. Сухэ-Батора,3
Генеральный директор Причко О.Н.
Филиал ПАО "Иркутскэнерго" 
Усть-Илимская ТЭЦ
666684? Иркутская область, г.Усть-Илимск, а/я 330, тел. (39535) 9 53 59
Директор филиала Кровушкин А.В.</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</si>
  <si>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</si>
  <si>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ПС Черемхово,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</si>
  <si>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Старцев М.В.</t>
  </si>
  <si>
    <t>Заказчик: ОАО «Иркутская электросетевая компания»                                                              664033, г. Иркутск, ул. Лермонтова 257,                    тел: (3952) 792-459, факс: (3952) 792-461 
Генеральный директор Каратаев Б.Н.
Подрядчик: ЗАО "ГК "Электрощит"-ТМ Самара"
443048, г. Самара, пос. Красная Глинка, корпус заводоуправления ОАО "Электрощит"
т.(846) 273-38-49                                                     Президент: Бриссе Э.Б.</t>
  </si>
  <si>
    <t>Открытое акционерное общество «РУСАЛ Братский алюминиевый завод»
Филиал Открытого акционерного общества «РУСАЛ Братский алюминиевый завод» в г. Шелехов
666033, РФ, Иркутская область, г. Шелехов, ул. Индустриальная, 4  
Руководитель филиала Мазуренко В.В.</t>
  </si>
  <si>
    <t>Заказчик: ОАО "Группа "Илим"
191025, г. Санкт-Петербург, ул. Марата,17,
Филиал ОАО "Группа "Илим" в г. Братске, 665718, РФ, Иркутская обл., г. Братск
тел: (3953) 340106,                                                       Директор филиала Паньшин А.В.</t>
  </si>
  <si>
    <t>Заказчик: ПАО «Иркутскэнерго»
664025, г. Иркутск, ул. Сухэ-Батора,3
Генеральный директор Причко О.Н. 
Филиал ПАО "Иркутскэнерго" Братская ГЭС
665709, г. Братск, а/я 783
тел. 323 359, факс (3953)323 367 
Директор филиала Вотенев  А.А.
Генподрядчик: ООО "НПФ "Ракурс"
198095, г. Санкт-Петербург, 
Химический пер.,  д.1 корп.2 
тел. (812)252 32 44, 252 64 79
Генеральный директор Чернигов Л.М.</t>
  </si>
  <si>
    <t>Работы по объекту филиала ПАО "Иркутскэнерго" Братская ГЭС "Комплексная система управления ГА для участия в АВРЧМ" (строительно-монтажные работы следующих комплексов: Терминал АВРЧМ, ГРАРМ с нижнем уровнем, ЭГР 6Г, ПТК ССМД 6Г с верхним уровнем)</t>
  </si>
  <si>
    <t>Заказчик: ПАО «Богучанская ГЭС»  
663491, г. Кодинск, стройбаза левого берега, зд. 1, объединённая база №1, а/я 132 
тел.(39143) 3-10-00, 7-13-96
Генеральный директор Демченко В.В.</t>
  </si>
  <si>
    <t xml:space="preserve">Заказчик: ООО "Братский завод ферросплавов "
665716, Иркутская обл., г. Братск,                           П 01 11 01 00, тел: (3953) 49-59-01
Управляющий директор Прокопец В.Г. </t>
  </si>
  <si>
    <t>Сушка трансформаторного масла силового трансформатора ТРДН 63000/110/10 инв. №30300008 зав. №1333612</t>
  </si>
  <si>
    <t>Заказчик: ОАО «Иркутскэнерго»
664025, г. Иркутск, ул. Сухэ-Батора,3
Генеральный директор  Федоров Е.В. 
Филиал ОАО "Иркутскэнерго" Братская ГЭС
665709, г. Братск, а/я 783
факс (3953)323 367, тел. 323 359
Директор филиала Вотенев  А.А.
Подрядчик ООО "Инженерный центр "Иркутскэнерго",
г. Иркутск, б-р Рябикова 67, 
тел. (3952) 790-711, факс (3952) 790-742 
Директор Моисеев Т.В.</t>
  </si>
  <si>
    <t>ПС 500/220/110/10 кВ Тулун,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</si>
  <si>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пер.Энергетиков 6 
Директор филиала Коваленко Э.А.</t>
  </si>
  <si>
    <t>Ремонт реактора Р-1-500 кВ открытого распределительного устройства 500 кВ ПС 220/110/10 (ПП 500) кВ Тулун с транспортировкой резервной фазы РОМБС-60000/500 с ПС Тайшет-500</t>
  </si>
  <si>
    <t>ВЛ-35 кВ КПД-Нагаевская, 
Магаданская область</t>
  </si>
  <si>
    <t>Заказчик: Филиал ПАО Магаданэнерго «Южные электрические сети»
685021, г. Магадан, пер. Марчеканский, д. 27  Директор Дьяченко В.В.
Генподрядчик: ООО «Электросетьмонтаж»
685030, г. Магадан, ул. Пролетарская 98 
тел.(413-2)606-054
Директор Баранов И.Ю.</t>
  </si>
  <si>
    <t>Заказчик: ООО "Братский завод ферросплавов "
665716, Иркутская обл., г. Братск,                   П 01 11 01 00, тел: (3953) 49-59-01
Управляющий директор  Прокопец В.Г.</t>
  </si>
  <si>
    <t xml:space="preserve">Ремонт средств КИПиА в филиале ПАО "Иркутскэнерго" Усть-Илимская ТЭЦ </t>
  </si>
  <si>
    <t xml:space="preserve">ПС 110/35 кВ Викторовское,
Северо-Енисейский район, Красноярский край   </t>
  </si>
  <si>
    <t>Заказчик: ООО "Соврудник"
Красноярский край, Северо-Енисейский район, посёлок городского типа Северо-Енисейский, Набережная улица, 1                     тел. (39-160) 21-1-22
Генеральный директор Гайнутдинов Р.И.</t>
  </si>
  <si>
    <t xml:space="preserve">ГПП-110/6 кВ Иркутского авиационного завода (ИАЗ),
г.Иркутск 
</t>
  </si>
  <si>
    <t>Заказчик: ПАО Корпорация «Иркут»
 г.Иркутск, ул. Новаторов, 3                               тел..+7 (3952) 55-88-55                                       Директор Хакимов Р.Р
Подрядчик: ЗАО «Востсибэлектропроект»
664025, г. Иркутск, ул. Степана Разина, 6</t>
  </si>
  <si>
    <t>Заказчик: ООО "РУС-инжиниринг"
Филиал в г. Шелехов
666033, Иркутская область, г. Шелехов,        ул. Индустриальная, 4
Руководитель филиала Мазуренко В.В.</t>
  </si>
  <si>
    <t xml:space="preserve">ПС ПГВ ЗАО Кремний,                           г.Шелехов, Иркутская область
</t>
  </si>
  <si>
    <t>Заказчик: АО "Группа "Илим"
191025, г. Санкт-Петербург, ул. Марата,17,
Филиал АО "Группа "Илим" в г. Братске, 665718, Иркутская обл., г. Братск
тел: (3953) 340106,                                            Директор филиала Паньшин А.В.</t>
  </si>
  <si>
    <t>Заказчик: ПАО «Иркутскэнерго»
664025, г. Иркутск, ул. Сухэ-Батора,3
Генеральный директор Причко О.Н. 
Филиал ПАО "Иркутскэнерго" 
Усть-Илимская ГЭС
666683, г. Усть-Илимск, Иркутской обл.,      а/я 958, тел. (39535) 95 859, 95 736
Директор филиала Кузнецов С.В.</t>
  </si>
  <si>
    <t>Строительно-монтажные, пусконаладочные работы и поставка оборудования по объекту филиала ПАО «Иркутскэнерго» Усть-Илимская ГЭС «Техническое перевооружение гидроагрегатов У-ИГЭС для оптимизации режима работы системы охлаждения», по объектам основных средств с ГИДРОГЕНЕРАТОРА 1 ВГС 1190/ 215 (инв.№ УИГ_00040165) по ГИДРОГЕНЕРАТОР 16 (инв.№ 00040180)</t>
  </si>
  <si>
    <t>ПС 500/220 кВ Усть-Кут, 
г.Усть-Кут, Иркутская область</t>
  </si>
  <si>
    <t xml:space="preserve">Заказчик: ПАО «ФСК ЕЭС» 
117630, г. Москва, ул. Академика Челомея, 5А.    
Филиал ПАО «ФСК ЕЭС»- МЭС Сибири.
660099, Красноярский край, Красноярск,     ул. Ады Лебедевой, 117 Тел. (391) 265-95-00 Генеральный директор Зильберман С.М.
Генподрядчик: АО Стройтрансгаз
123112, г..Москва, ул. Тестовская, д. 10 
Подрядчик: АО "Сельэлектрострой"
660061, г. Красноярск, ул. Калинина, 66                  тел. (391)221-71-27
Генеральный директор Жаров В.А.    </t>
  </si>
  <si>
    <t>Заказчик: ПАО «ФСК ЕЭС» 
117630, г. Москва, ул. Академика Челомея, 5А.    
Филиал ПАО «ФСК ЕЭС»- МЭС Сибири.
660099, Красноярский край, Красноярск,     ул. Ады Лебедевой, 117 Тел. (391) 265-95-00 Генеральный директор Зильберман С.М.
Генподрядчик: АО Стройтрансгаз
123112, г..Москва, ул. Тестовская, д. 10 
Подрядчик: АО "Энергетические технологии"
664033, г. Иркутск, ул. Лермонтова, 130, оф. 110, Тел.: (3952) 423-523
Генеральный директор Черных О.Г.</t>
  </si>
  <si>
    <t xml:space="preserve">Пусконаладочные работы оборудования       ОРУ-220 кВ, в целях строительства Объекта: «ПС 500 кВ Усть-Кут с заходами ВЛ 500 кВ и 220 кВ» для нужд филиала ПАО «ФСК ЕЭС» - МЭС Сибири </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</si>
  <si>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Директор Шалак Г.Н.                            Подрядчик: ООО "Альстом Грид-Русал электроинжиниринг"               
620017, г. Екатеринбург, пр. Космонавтов, 7 тел. (343) 310 13 42              
Генеральный директор  Пешу Ф.</t>
  </si>
  <si>
    <t>Заказчик: АО"Группа "Илим"
191025, г. Санкт-Петербург, ул. Марата,17,
Филиал ОАО "Группа "Илим" в г. Братске, 665718, Иркутская обл., г. Братск
тел: (3953) 340106,                                          Директор филиала Паньшин А.В.</t>
  </si>
  <si>
    <t>Строительно-монтажные, пусконаладочные работы, поставка оборудования по титулу: «Замена МВ-220-110 кВ с недостаточной отключающей способностью и выключателей типа ВМТ на элегазовые выключатели» в составе: Лот 2,
«ОВ-110 и ШСВ-110 ПС Правобережная».</t>
  </si>
  <si>
    <t>ПС 110/35/10 кВ Дачная,
Иркутская область</t>
  </si>
  <si>
    <t>ПС 110/10/6 кВ РКК-2, 
Иркутская область</t>
  </si>
  <si>
    <t xml:space="preserve">ПС 35/10 кВ Мегет, 
п. Мегет, Ангарский район, Иркутская область 
</t>
  </si>
  <si>
    <t>Заказчик: АО «Братская электросетевая компания»
РФ, 65710,Иркутская область,  г. Братск, ул.Дружбы,45 
Генеральный директор Кабаев С.И.</t>
  </si>
  <si>
    <t>Заказчик: ЗАО «Братская электросетевая компания»
РФ, 65710,Иркутская область,  г. Братск, ул.Дружбы,45 
Генеральный директор Кабаев С.И.</t>
  </si>
  <si>
    <t>Заказчик: АО "Группа "Илим"
191025, г. Санкт-Петербург, ул. Марата,17,
Филиал АО "Группа "Илим" в г. Братске, 665718, Иркутская обл., г. Братск
тел: (3953) 340649                                             Директор филиала Паньшин А.В.</t>
  </si>
  <si>
    <t>Заказчик: ПАО «Богучанская ГЭС»  
663491, г. Кодинск, стройбаза левого берега зд. 1, объединённая база №1, а/я 132 
тел. (39143) 3-10-00, 7-13-96
Генеральный директор Демченко В.В.
Подрядчик: ООО «РедСис»
190000, г. Санкт-Петербург,
Английский проспект, дом 3, литера                            Генеральный директор Дзюба И.Г.</t>
  </si>
  <si>
    <t>Заказчик: ПАО «Богучанская ГЭС»  
663491, г. Кодинск, стройбаза левого берега зд. 1, объединённая база №1, а/я 132 
тел.(39143) 3-10-00, 7-13-96                        Генеральный директор Демченко В.В.
Подрядчик: ООО Фирма «Синтез Н» 
Россия, Красноярский край г. Красноярск, 
ул. Взлетная 38 пом. 307                                    Генеральный директор Гельманов А.Е.</t>
  </si>
  <si>
    <t>Заказчик: ПАО «Иркутскэнерго»
664025, г. Иркутск, ул. Сухэ-Батора,3
Генеральный директор Причко О.Н.
Филиал ПАО "Иркутскэнерго" ТЭЦ-16
665651 Иркутская область, г. Железногорск-Илимский, 1 п/о, а/я 18. 
тел.(39566) 2-61-59 (39566) 2-61-59
Директор филиала Черкасов С.И.</t>
  </si>
  <si>
    <t xml:space="preserve">ТЭЦ в г. Советская Гавань,
Хабаровский край 
</t>
  </si>
  <si>
    <t xml:space="preserve">Заказчик: ООО «Эльбрусская горно-строительная компания»
369300, КЧР, Усть-Джегутинский район, 
г. Усть-Джегута, ул. Ленина, 56 «А»
тел./факс 8(8662)405-105
Директор Мечиев Б.И.
</t>
  </si>
  <si>
    <t>ПС 220/110/10 кВ Опорная,
ПС 110/6 кВ Вихоревка,
Иркутская область</t>
  </si>
  <si>
    <t>Заказчик: 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</si>
  <si>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 xml:space="preserve">ПС 110/10/6 кВ Промплощадка,
Газимуро-заводской район, Забайкальский край </t>
  </si>
  <si>
    <t>Заказчик: ООО "ГРК "Быстринское"
672000, Забайкальский край, г. Чита, ул. Лермонтова, д. 2                                              Генеральный директор Попов А.Н.
Генподрядчик: ООО "Востокгеология"
672003, г. Чита, ул.Трактовая, 35б, стр. 9,
Генеральный директор Шевчук Г.А.
Подрядчик: АО "РОСТ-С"
119019, г Москва, бульвар Никитский, дом 12, пом.3
Генеральный директор  Текеев А.А.
Субподрядчик: АО "Энергетические технологии"
664033, г. Иркутск, ул. Лермонтова, 130,             оф. 110, тел.: (3952) 423-523
Генеральный директор Черных О.Г.</t>
  </si>
  <si>
    <t xml:space="preserve">ПС 110/6 кВ Северо-Восточная, 
г. Краснодар, Краснодарский край 
</t>
  </si>
  <si>
    <t>Заказчик: ПАО "Кубаньэнерго" 
350033, г. Краснодар, ул. Ставропольская, 2
тел. (8612) 68-59-13, (861) 268-59-13 Генеральный директор Сергеев С.В.
Подрядчик: ООО "СК "Регионспецмонтаж" 
344018, г. Ростов-на-Дону,                                         пр. Буденновский, д. 80, офис 507
тел: 8 (863)-268-93-86  
Управляющий директор Прохоров М.А.</t>
  </si>
  <si>
    <t xml:space="preserve">Строительно-монтажные и пусконаладочные работы по объекту филиала ПАО «Кубаньэнерго» Краснодарские электрические сети: «Реконструкция ПС 110/6-10 кВ «Северо-Восточная». Установка Т-3 мощностью 40 МВА» в объеме реконструкции 57 существующих и 23 вновь устанавливаемых ячеек 6-10 кВ 
</t>
  </si>
  <si>
    <t>Богучанский Алюминиевый Завод, п.Таежный, Красноярский край</t>
  </si>
  <si>
    <t>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Генеральный директор Юшманов А.В.</t>
  </si>
  <si>
    <t>Заказчик: АО "Группа "Илим"
191025, г. Санкт-Петербург, ул. Марата,17,
Филиал АО "Группа "Илим" в г. Братске, 665718, Иркутская обл., г. Братск
тел: (3953) 340649,                                          Директор филиала Паньшин А.В.</t>
  </si>
  <si>
    <t>Устройство временной кабельной трассы для переноса БКТП МНС из зоны строительства вакуум-выпарной установки №8 (ВВУ №8) по проекту 9056-2-25-АС1;
-устройство кабельной трассы и фундамента под  БКТП МНС по проекту 9056-2-25-АС2;
-электромонтажные работы по выносу БКТП МНС из зоны строительства ВВУ №8 по проекту 9056-2-25-ЭС2;
-ПНР по выносу  БКТП МНС из зоны строительства ВВУ №8 по проектам 9056-2-25-ЭС1, 9056-2-25-ЭС2.</t>
  </si>
  <si>
    <t>Заказчик: ООО "Братский завод ферросплавов"
665716, Иркутская обл., г. Братск,                            П 01 11 01 00, тел: (3953) 49-59-01
Управляющий директор Прокопец В.Г.</t>
  </si>
  <si>
    <t>Заказчик: ПАО «Иркутскэнерго»
664025, г. Иркутск, ул. Сухэ-Батора,3
Генеральный директор Причко О.Н. 
Филиал ПАО "Иркутскэнерго" 
Усть-Илимская ГЭС
666683, г. Усть-Илимск, Иркутской обл.,                    а/я 958, тел. (39535) 95 859, 95 736.
Директор филиала Кузнецов С.В.</t>
  </si>
  <si>
    <t xml:space="preserve">Замена рабочих колес Усть-Илимской ГЭС  (вывозка рабочих колес с машинного зала на площадку временного хранения) по объектам основных средств:  ГИДРОТУРБИНА  2 ЗАВ.606, инвентарный номер 00040019 и ГИДРОТУРБИНА  4 ЗАВ.608,  инвентарный номер УИГ_00040021 </t>
  </si>
  <si>
    <t>Заказчик: ПАО «Богучанская ГЭС» в лице АО «Организатор строительства Богучанской ГЭС»                                                                          663491, г. Кодинск, стройбаза левого берега зд. 1, объединённая база №1, а/я 29, тел.(39143)7-13-40, факс (39143) 7-13-39 
Генеральный директор Чернявский С.Ю.</t>
  </si>
  <si>
    <t>Выполнение строительно-монтажных работ по демонтажу литого токопровода СН 6 кВ Betobar-r PH12</t>
  </si>
  <si>
    <t>Заказчик: ПАО «Богучанская ГЭС»  
663491, г. Кодинск, стройбаза левого берега зд. 1, объединённая база №1, а/я 132 
тел.(39143) 3-10-00, 7-13-96
Генеральный директор Демченко В.В.</t>
  </si>
  <si>
    <t>Заказчик: 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</si>
  <si>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Монтажные и пусконаладочные работы по объекту «ПС-500 кВ «Усть-Кут», с заходами 500 кВ и 220 кВ». Реконструкция РЗА ПС «Лена» (инв. №9001310011), с поставкой оборудования, для нужд филиала ОАО «ИЭСК» Северные электрические сети</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</si>
  <si>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Старцев М.В.</t>
  </si>
  <si>
    <t xml:space="preserve">Строительно-монтажные и пусконаладочные работы по объекту: «ПС 500/220/110/35/10/6 "Иркутская". Реконструкция ПС "Иркутская" в связи с заменой трансформаторов тока 500кВ ТТ-500 1В-10 на газонаполненные типа ТОГП-500 в составе объектов:
- ГПП-1 ОРУ-500 кВ 1В10 (инв.№ 700Б000656);
- ГПП-1 ОРУ-500 кВ ячейка 1В10 (инв.№700Б000689)»
</t>
  </si>
  <si>
    <t xml:space="preserve">ПС 110 кВ Центральная,
ПС 220 кВ Шелехово,
Иркутская область
</t>
  </si>
  <si>
    <t xml:space="preserve">Строительно-монтажные, пусконаладочные работы по титулу: «Замена высоковольтных вводов 110-220 кВ» в составе: Лот 2,
"Замена горизонтальных вводов 110 кВ Т-1, Т-2 ПС 110 кВ Центральная (инв. № 5000140416)";
"Замена вводов 110 кВ ф В и С на АТ-8 (типа АТДЦТН 200000/220) ПС Шелехово   (инв. № 5000140301)";
    "Замена горизонтальных вводов ВЛ-110 ГЭС ПС 110 кВ Центральная (инв. № 5000140416)".
</t>
  </si>
  <si>
    <t>ПС 35/10 кВ Введенщина,
Иркутская область</t>
  </si>
  <si>
    <t xml:space="preserve">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Прошутинский А.Л.
Генподрядчик:  ООО «ЕвроСибЭнерго-инжиниринг»
664050,г. Иркутск, ул. Байкальская, д. 259
тел.: (3952) 794-683, факс: (3952) 794-546
Генеральный директор Погосбеков Д.Д.
</t>
  </si>
  <si>
    <t>ПС 35 кВ Марково,
Иркутская область</t>
  </si>
  <si>
    <t>Заказчик: ООО ГРК Быстринское
672000, Забайкальский край, г. Чита,                         ул. Лермонтова, д. 2                                                       Генеральный директор Попов А.Н.
Генподрядчик: АО "РОСТ-С"
119019, г Москва, бульвар Никитский, дом 12, пом.3
Генеральный директор  Текеев А.А.</t>
  </si>
  <si>
    <t>Этапы электромонтажных и пусконаладочных работ по объекту: ПС 110 кВ «Промплощадка» в рамках реализации проекта «Объекты внешнего электроснабжения Быстринского ГОКа: ПС 110/10/6 кВ «Промплощадка», ПС 35/10 кВ «Поселок», ВЛ 110 кВ и ВЛ 35 кВ»</t>
  </si>
  <si>
    <t xml:space="preserve">Быстринский горно-обогатительный комбинат (ГОК) 
Газимуро-заводской район, Забайкальский край </t>
  </si>
  <si>
    <t>Заказчик: ООО ГРК Быстринское
672000, Забайкальский край, г. Чита,                              ул. Лермонтова, д. 2                                                   Генеральный директор Попов А.Н.
Генподрядчик АО "РОСТ-С"
119019, г Москва, бульвар Никитский, дом 12, пом.3
Генеральный директор Текеев А.А.                Подрядчик: ЗАО "ГК "Электрощит"-ТМ Самара"
443048, г. Самара, пос. Красная Глинка, корпус заводоуправления ОАО "Электрощит"
тел.(846)273-38-49                                                Президент: Бриссе Э.Б</t>
  </si>
  <si>
    <t>ПС35/6 кВ Боково,
г. Иркутск</t>
  </si>
  <si>
    <t>Заказчик: АО «Братская электросетевая компания»
65710,Иркутская область,  г. Братск, ул.Дружбы,45 
Генеральный директор Кабаев С.И.</t>
  </si>
  <si>
    <t xml:space="preserve"> Выполнение землеустроительных и проектно-изыскательских работ по объекту: "Строительство ВЛ 35-кВ, ПС 35/6 кВ "Боково"</t>
  </si>
  <si>
    <t xml:space="preserve">Заказчик: ПАО "РУСАЛ Братский Алюминиевый Завод" 
(ПАО "РУСАЛ Братск")
665716, Иркутская область, г.Братск-16    Управляющий директор Зенкин Е.Ю.
</t>
  </si>
  <si>
    <t xml:space="preserve">Строительно-монтажные, пусконаладочные работы, поставка оборудования по титулу: «Замена трансформаторов напряжения» в составе: Лот 1,
"Замена ТН-1-220, ТН-2-220, ТН-3-220 ПС Шелехово (инв. № 5000140528)";
"Замена ТН-1-110, ТН-2-110 ПС Шелехово (инв. № 5000140528)"   
</t>
  </si>
  <si>
    <t>ПС 500/220/35 кВ Озерная, 
г. Тайшет,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</si>
  <si>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пер.Энергетиков 6. 
Директор филиала Коваленко Э.А.</t>
  </si>
  <si>
    <t>Котельная школы в п.Новодолоново, 
Братский район, Иркутская область</t>
  </si>
  <si>
    <t xml:space="preserve">Заказчик: Администрация муниципального образования «Братский район»
Юридический адрес: 665770, Иркутская область, Братский район, г. Вихоревка, 
ул. Дзержинского, 105.
Почтовый адрес: 665717, Иркутская область,  г. Братск, ул. Комсомольская, 28А.
тел. +7(3953) 41-21-70,  +7(3953) 41-21-75
Мэр Братского района Баловнев А.С. </t>
  </si>
  <si>
    <t>Братский Алюминиевый Завод, 
г. Братск, Иркутская область</t>
  </si>
  <si>
    <t>Заказчик: ПАО "РУСАЛ Братский Алюминиевый Завод" 
(ПАО "РУСАЛ Братск")
665716, Иркутская область, г.Братск-16    Управляющий директор Зенкин Е.Ю.</t>
  </si>
  <si>
    <t>Работы по восстановлению технических свойств подвесной изоляции 220 кВ группы 4Т ПАО «РУСАЛ Братск»</t>
  </si>
  <si>
    <t>Заказчик: ООО "РУС-инжиниринг"
Филиал в г. Шелехов
666033, РФ, Иркутская область, г. Шелехов, ул. Индустриальная, 4
Руководитель филиала Мазуренко В.В.</t>
  </si>
  <si>
    <t>Заказчик: АО "Группа "Илим"
191025, г. Санкт-Петербург, ул. Марата,17,
Филиал АО "Группа "Илим" в г. Братске, 665718, Иркутская обл., г. Братск
тел: (3953) 340649                                        Директор филиала Паньшин А.В.</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</si>
  <si>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</si>
  <si>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ПС 110 кВ Зелёный берег,
Иркутская область</t>
  </si>
  <si>
    <t>Заказчик: АО «Братская электросетевая компания»
665710, Иркутская область,  г. Братск, ул.Дружбы,45 
Генеральный директор Кабаев С.И.</t>
  </si>
  <si>
    <t xml:space="preserve">ПП 500 кВ Тобол 
г.Тобольск, Тюменская область 
</t>
  </si>
  <si>
    <t xml:space="preserve">Заказчик: ПАО «ФСК ЕЭС» - МЭС Западной Сибири 
628406, Тюменская область, г. Сургут,                  ул. Геологическая, д. 4 
тел.: (3462) 77-75-12, факс: (3462) 77-73-01 Генеральный директор Ляпунов Е.В.
Генподрядчик: Филиал АО «ЦИУС ЕЭС» — ЦИУС Западной Сибири 
628408, Тюменская область, Ханты-Мансийский автономный округ - Югра,                      г.Сургут, ул.Университетская, д.4, офис № 2
тел.: (3462) 777-150                                                Директор Малыхин О.В.
Подрядчик: ООО «Петроком»                               192012, г.Санкт-Петербург,                                     ул. Мурзинская, д.11, лит.А,                                    тел.(812) 331-25-17                                                         Генеральный директор Гриценко А.С.
</t>
  </si>
  <si>
    <t>Заказчик: ЗАО «Братская электросетевая компания»
665710,Иркутская область,  г. Братск, ул.Дружбы,45 
Генеральный директор Кабаев С.И.</t>
  </si>
  <si>
    <t xml:space="preserve">Заказчик: ЗАО "Богучанский Алюминиевый Завод" в лице ЗАО "Организатор строительства Богучанского алюминиевого завода"   
663467, Красноярский край, Богучанский р-н, Промплощадка Богучанского алюминиевого завода                                                                Генеральный директор Юшманов А.В. </t>
  </si>
  <si>
    <t xml:space="preserve">Заказчик: ООО "Братский завод ферросплавов "
665716, Иркутская обл., г. Братск,                        П 01 11 01 00, тел: (3953) 49-59-01
Управляющий директор Прокопец В.Г. </t>
  </si>
  <si>
    <t>ПС  №6,
г. Усть-Илимск,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</si>
  <si>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</si>
  <si>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ПС  № 3,
г. Усть-Илимск,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</si>
  <si>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</si>
  <si>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Старцев М.В.
Генподрядчик: ООО "Инженерный центр "Иркутскэнерго",
г. Иркутск, б-р Рябикова 67, 
тел. (3952) 790-711, факс (3952) 790-742 
Директор Моисеев Т.В.</t>
  </si>
  <si>
    <t xml:space="preserve">Реконструкция устройств РЗА ВЛ 500кВ Ново-Зиминская – УПК Тыреть ВЛ 568 с заменой оборудования 500 кВ ячейки ВЛ 568 на УПК Тыреть» для нужд филиала ОАО «ИЭСК» «Центральные электрические сети»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</si>
  <si>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 Энергетиков 6               Директор филиала Коваленко Э.А.
Генподрядчик ООО "Инженерный центр "Иркутскэнерго",
г. Иркутск, б-р Рябикова 67, 
Тел. (3952) 790-711, Факс (3952) 790-742 
Директор Моисеев Т.В.</t>
  </si>
  <si>
    <t>Разработка проектно-сметной документации на проведение работ по «Подключению питания электродвигателей пожарных насосов системы автоматического пожаротушения здания МАУК «ТКЦ «Братск-АРТ» от ТП-419 РУ-0,4кВ»</t>
  </si>
  <si>
    <t>Заказчик: ПАО «Богучанская ГЭС»  
663491, г. Кодинск, стройбаза левого берега зд. 1, объединённая база №1, а/я 132 
тел. (39143) 3-10-00, 7-13-96                   Генеральный директор Демченко В.В.
Подрядчик: ООО «Эйч Ди Сервис» 
197374, Санкт-Петербург,
ул. Планерная, д.7 
Генеральный директор Линт В.М.</t>
  </si>
  <si>
    <t>Заказчик: КГКУ «Дирекция по комплексному развитию Нижнего Приангарья» (КГКУ «ДКР НП»)
660017, г. Красноярск, ул. Урицкого, д. 123,    тел. (391) 227-81-31 факс: (391)227-81-53 
Директор Ю.П. Васильев</t>
  </si>
  <si>
    <t>Выполнение работ по устранению неисправностей системы отопления объекта схемы выдачи мощности Богучанской ГЭС: «Открытый пункт перехода (500 кВ) на строящейся Богучанской ГЭС с токопроводами связи (500 кВ) - от комплектного распределительного устройства элегазового (500 кВ) до открытого пункта перехода (500 кВ)»</t>
  </si>
  <si>
    <t>Заказчик: АО "Группа "Илим"
191025, г. Санкт-Петербург, ул. Марата,17,
Филиал АО "Группа "Илим" в г. Братске, 665718,Иркутская обл., г. Братск
тел: (3953) 340649                                               Директор филиала Паньшин А.В.</t>
  </si>
  <si>
    <t xml:space="preserve">Быстринский горно-обогатительный комбинат (ГОК), 
Газимуро-заводской район, Забайкальский край </t>
  </si>
  <si>
    <t>Заказчик: ООО ГРК Быстринское
672000, Забайкальский край, г. Чита,                              ул. Лермонтова, д. 2                                                     Генеральный директор Попов А.Н.
Генподрядчик: ООО "Востокгеология"
672003, г.Чита, ул.Трактовая, 35б, стр. 9,
Генеральный директор Шевчук Г.А.</t>
  </si>
  <si>
    <t xml:space="preserve">Работы по испытанию электрооборудования на объекте ООО "ГРК "Быстринское". Сети и сооружения системы технического водоснабжения ОФ с насосной и резервуарами запаса воды. Насосная станции CHZMEK-PST 704/70.2 </t>
  </si>
  <si>
    <t>ПС 110/10 кВ Юбилейная, 
г. Красноярск</t>
  </si>
  <si>
    <t xml:space="preserve">Заказчик: ПАО «МРСК Сибири»
660021, Красноярский край, г. Красноярск, 
ул. Бограда, 144а;                                     Генеральный директор Иванов В.В. </t>
  </si>
  <si>
    <t>Строительство объекта "под ключ": разработка рабочей документации, строительно-монтажные и пусконаладочные работы по объекту «Комплексная реконструкция ПС 110/10 кВ «Юбилейная» с установкой трансформаторов 2x25 MBA и реконструкцией ОРУ/ЗРУ»</t>
  </si>
  <si>
    <t>Строительство объекта "под ключ": разработка проектной и рабочей документации, поставка оборудования, строительно-монтажные и пусконаладочные работы по объекту «Комплексная реконструкция ПС 110/10 кВ "Молодежная" с заменой трансформаторов 2х25 на 2х40 МВА и реконструкцией ОРУ/ЗРУ»</t>
  </si>
  <si>
    <t>ПС 110/10 кВ Молодежная,
г. Красноярск</t>
  </si>
  <si>
    <t xml:space="preserve">Главная понизительная подстанция (ГПП) 110/6/ кВ  Машзавод-2
</t>
  </si>
  <si>
    <t>Заказчик: АО "У-УАЗ" (Улан-Удэнский авиационный завод)
Республика Бурятия, г. Улан-Удэ, ул. Хоринская 1
Управляющий директор Л.Я. Белых</t>
  </si>
  <si>
    <t>Заказчик: АО "Группа "Илим"
191025, г. Санкт-Петербург, ул. Марата,17,
Филиал АО "Группа "Илим" в г. Братске, 665718, Иркутская обл., г. Братск
тел: (3953) 340649                                           Директор филиала Паньшин А.В.</t>
  </si>
  <si>
    <t>ОГБПОУ Братский медицинский колледж
г. Братск, Иркутская область</t>
  </si>
  <si>
    <t xml:space="preserve">Заказчик: Областное государственное бюджетное профессиональное образовательное учреждение "Братский медицинский колледж" (ОГБПОУ БМК)
665724, Иркутская область,  г. Братск, ул. Комсомольская, д. 75 
Директор  Котова И.В.
</t>
  </si>
  <si>
    <t>ПС 220 кВ Малая Елань,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</si>
  <si>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Прошутинский А.Л.
Подрядчик  ООО «ПНП Вектор-А»
 664003, РФ, г. Иркутск,
ул. Урицкого, д.5-7.
Генеральный директор Никитин А.А.</t>
  </si>
  <si>
    <t>ПС 220 кВ Мамакан, 
п.Мамакан, Бодайбинский район, Иркутская область</t>
  </si>
  <si>
    <t xml:space="preserve">Заказчик: Областное государственное бюджетное профессиональное образовательное учреждение "Братский медицинский колледж" (ОГБПОУ БМК)
665724, Иркутская область,  г. Братск, ул. Комсомольская, д. 75 
Директор И.В. Котова
</t>
  </si>
  <si>
    <t>Заказчик: ПАО «Иркутскэнерго»
664025, г. Иркутск, ул. Сухэ-Батора,3
Генеральный директор Причко О.Н. 
Филиал ПАО "Иркутскэнерго" 
Усть-Илимская ГЭС
666683, г. Усть-Илимск, Иркутской обл.,               а/я 958, тел. (39535) 95 859, 95 736.
Директор филиала  Стрелков Е.В.</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</si>
  <si>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</si>
  <si>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ПС Западная, 
г. Братск,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</si>
  <si>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</si>
  <si>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Группа Илим,                                                г.Братск, Иркутская область</t>
  </si>
  <si>
    <t>Заказчик: АО"Группа «Илим"
191025, г. Санкт-Петербург, ул. Марата,17,
Филиал  АО"Группа «Илим" в г. Братске, 665718, Иркутская обл., г. Братск
Тел: (3953) 340106,                                                      Директор филиала Паньшин А.В.
Генподрядчик: ООО "Сибавтоматика"
665718, Иркутская область, г.Братск, Центральный район, Промышленная зона БРАЗа         
Генеральный директор Жданов С.В.</t>
  </si>
  <si>
    <t>Электромонтажные и пусконаладочные работы по проекту "Техническое перевооружение производства диоксида хлора для обеспечения отбеливающими химикатами отбельных цехов" в филиале АО "Группа "Илим" в г. Братске</t>
  </si>
  <si>
    <t>Спортивная школа олимпийского резерва «Спартак»
 г.Братск, Иркутская область</t>
  </si>
  <si>
    <t>Заказчик: Областное государственное бюджетное учреждение «Спортивная школа олимпийского резерва «Спартак» (ОГБУ СШОР «Спартак»)                                         Директор Егоров Н.А.</t>
  </si>
  <si>
    <t xml:space="preserve">ПС 35/10 кВ Поздняково,
ПС 35/10 кВ Садоводство,
ПС 35/10 кВ Светлячки,
ПС 35/10 кВ Геологическая,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</si>
  <si>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Восточные электрические сети
Директор филиала Садохин А.И.                 664047, Иркутская область, г. Иркутск, ул. Депутатская, д.38
тел./факс.: 8(395-2)794-859, 8(395-2) 794-811</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</si>
  <si>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
Генподрядчик  ООО «ЕвроСибЭнерго-инжиниринг»
 664050,г. Иркутск, ул. Байкальская, д. 259
тел.: (3952) 794-683, факс: (3952) 794-546
Генеральный директор Борисычев А.В.</t>
  </si>
  <si>
    <t xml:space="preserve">Замена деффектного разъединителя 500 кВ ПС Тайшет.
</t>
  </si>
  <si>
    <t>Заказчик: АО "Группа "Илим"
191025, г. Санкт-Петербург, ул. Марата,17,
Филиал АО "Группа "Илим" в г. Братске, 665718, Иркутская обл., г. Братск
тел: (3953) 340649                                              Директор филиала Паньшин А.В.</t>
  </si>
  <si>
    <t xml:space="preserve">Капитальный ремонт трансформатора типа ТДНП-25000/10 КВА-1 (Выпрямительный агрегат  ВАКВ 25000/450 инв. № 362010400170340) </t>
  </si>
  <si>
    <t>УТЭЦ (Утилизационная ТЭЦ),
г. Липецк</t>
  </si>
  <si>
    <t xml:space="preserve">Заказчик: ПАО «НЛМК» (Новолипецкий металлургический комбинат)
398040, г. Липецк, апл. Металлургов, 2
Управляющий директор Филатов С. В.
Подрядчик ООО «Камаэлектромонтаж»
94044, г. Санкт-Петербург, ул. Набережная Пироговская, д. 21, лит А, офис 54
Почтовый адрес: 617762, Пермский край, г. Чайковский, ул. Гагарина, 140
Директор Ребров А.Н. 
</t>
  </si>
  <si>
    <t xml:space="preserve">ПС 110/6 кВ Северо-Восточная,
г. Краснодар, Краснодарский край 
</t>
  </si>
  <si>
    <t>Заказчик: ПАО "Кубаньэнерго" 
350033, г. Краснодар, ул. Ставропольская, 2
тел.: 8 (8612) 68-59-13                                                    Генеральный директор Сергеев С.В.
Подрядчик: ООО "СК "Регионспецмонтаж" 
344018, г. Ростов-на-Дону, 
пр. Буденновский, д. 80, офис 507
тел: 8 (863)-268-93-86  
Управляющий Прохоров М.А.</t>
  </si>
  <si>
    <t xml:space="preserve">Строительно-монтажные и пусконаладочные работы по объекту филиала ПАО «Кубаньэнерго» Краснодарские электрические сети: «Реконструкция ПС 110/6-10 кВ "Северо-Восточная". Установка Т-3 мощностью 40 МВА» в объеме реконструкции 7 существующих ячеек 10 кВ.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</si>
  <si>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</si>
  <si>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пер.Энергетиков 6
Директор филиала Коваленко Э.А.</t>
  </si>
  <si>
    <t>ПС 500/110/35кВ Тайшет,
ПС 500/220/35кВ Озерная,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</si>
  <si>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пер.Энергетиков 6 
Директор филиала Коваленко Э.А.</t>
  </si>
  <si>
    <t>НПС-7 трубопроводной системы «Восточная Сибирь - Тихий океан»,
Иркутская область</t>
  </si>
  <si>
    <t xml:space="preserve">Заказчик: ПАО Транснефть                    123112, г.Москва, Пресненская набережная д.4 стр.2, тел. (495) 950-81-78            Президент Токарев Н.П.                   Подрядчик: ООО «Электроремонтная компания» (ООО «ЭРК»)
620012, Свердловская область, 
г. Екатеринбург, площадь Первой Пятилетки, а/я 206, тел./факс (343) 272-74-75 
Директор Скоринов А.В. </t>
  </si>
  <si>
    <t xml:space="preserve">КРУ-6 на месторождении Дражное, 
Оймяконский район, 
Республика Саха (Якутия) </t>
  </si>
  <si>
    <t>Заказчик: АО "Тарынская золоторудная компания"                                                               678730, Оймяконский район, пгт Усть-Нера, ул.Ленина, 33, тел: (41154) 2-02-95  Генеральный директор Коротаев И.Г.               Подрядчик: ООО ФСК "САНТЭЛ"
664081, г. Иркутск, ул. Пискунова, 150/3 
т. 8(3952)733-143
Генеральный директор Матвиенко И.В.</t>
  </si>
  <si>
    <t xml:space="preserve">Усть-Среднеканская ГЭС, 
п. Синегорье, Магаданская область
</t>
  </si>
  <si>
    <t>Заказчик: АО «УК ГидроОГК»     Генеральный директор Карпухин Н.И. в лице                 АО «Усть-Среднеканская ГЭС им. А.Ф. Дьякова»
686222, Магаданская область, п. Синегорье, ул. Когодовского, д.7 
Подрядчик: АО "Гидроэлектромонтаж"
675000, Амурская область, г. Благовещенск, ул. Зейская, 225/3
Генеральный директор  Васильев В.А.</t>
  </si>
  <si>
    <t xml:space="preserve">Комплекс работ по монтажу токопровода (сварочные работы) на Усть-Среднеканской ГЭС  </t>
  </si>
  <si>
    <t>Заказчик: ПАО «Богучанская ГЭС»  
663491, г. Кодинск, стройбаза левого берега      зд. 1, объединённая база №1, а/я 132 
тел.(39143) 3-10-00, 7-13-96                                Генеральный директор Демченко В.В.
Подрядчик: ООО Фирма «Синтез Н» 
Красноярский край, г. Красноярск, 
ул. Взлетная 38 пом. 307                              Исполнительный директор Гальцова И.А.</t>
  </si>
  <si>
    <t>Выполнение строительно-монтажных и пусконаладочных работ по устройству заземления прожекторных мачт ПМ-21, подготовка комплекта исполнительной документации по результатам выполненных работ</t>
  </si>
  <si>
    <t>НПС-2 трубопроводной системы «Восточная Сибирь - Тихий океан»,
Иркутская область</t>
  </si>
  <si>
    <t>Заказчик: ПАО Транснефть                     123112, г.Москва, Пресненская набережная д.4 стр.2, тел. (495) 950-81-78                                Президент Токарев Н.П.                 Подрядчик: ООО «ПЛК» 
197341, г. Санкт-Петербург, Коломяжский пр-т д. 33, корп. 2, лит. А, пом. 57-Н 
тел. (812 )400-8-004
Генеральный  директор Асиновский И.Б.</t>
  </si>
  <si>
    <t xml:space="preserve">Заказчик: ЗАО "Богучанский Алюминиевый Завод"
663467, Красноярский край, Богучанский р-н, Промплощадка Богучанского алюминиевого завода                                                                            Директор Шалак Г.Н.  
Генподрядчик: АО "Теплохиммонтаж"
309515, Белгородская область г. Старый Оскол станция «Котел», Промузел, площадка «Монтажная», проезд Ш-6, строение №3 Генеральный директор Кузин И.Н.
</t>
  </si>
  <si>
    <t xml:space="preserve">Богучанский Алюминиевый Завод,
п. Таёжный,  Красноярский край
</t>
  </si>
  <si>
    <t>Пусконаладочные работы на объекте ЗАО «БоАЗ»</t>
  </si>
  <si>
    <t>Группа Илим,                                                 г. Усть-Илимск, Иркутская область</t>
  </si>
  <si>
    <t>Заказчик: ОАО "Группа Илим"
191025, г. Санкт-Петербург, ул. Марата,17,
Филиал  ОАО "Группа Илим" в г. Усть-Илимске                                                                               666684, Иркутская область, г. Усть-Илимск, промышленная площадка ЛПК
тел. (39535) 93195                                                       Директор по закупкам Стороженко С.А.</t>
  </si>
  <si>
    <t>Водораспределительный узел,
п.Боровской Иркутская область</t>
  </si>
  <si>
    <t xml:space="preserve">Заказчик: Заказчик: Администрация муниципального образования «Братский район»
665770, Иркутская область, Братский район, г. Вихоревка, ул. Дзержинского, 105.
тел. +7(3953) 41-21-70,  +7(3953) 41-21-75
Мэр Братского района Баловнев А.С. 
</t>
  </si>
  <si>
    <t>Заказчик: ПАО «Иркутскэнерго»
664025, г. Иркутск, ул. Сухэ-Батора,3
Генеральный директор Причко О.Н. 
Филиал ПАО "Иркутскэнерго" 
Усть-Илимская ГЭС
666683, г. Усть-Илимск, Иркутской обл.,               а/я 958, тел. (39535) 95 859, 95 736
Директор филиала  Стрелков Е.В.</t>
  </si>
  <si>
    <t>Сроительно-монтажные работы по объекту филиала ПАО «Иркутскэнерго» Усть-Илимская ГЭС "ОРУ 220-500 КВ. УИГ_00040406. Техническое перевооружение ОРУ 220-500кВ. Техническое перевооружение устройств РЗА ОВ 220", по объекту основных средств ОРУ 220-500 КВ, инв.№ УИГ_00040406</t>
  </si>
  <si>
    <t xml:space="preserve">ПС 500/220/110/35/10/6  кВ Иркутская,
г. Ангарск, Иркутская область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</si>
  <si>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Старцев М.В.</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</si>
  <si>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Южные электрические сети
664056, г. Иркутск, ул. Безбокова, 38
тел./факс.: (3952) 793-203
Директор филиала Прошутинский А.Л.
Генподрядчик:  ООО «ЕвроСибЭнерго-инжиниринг»
664050,г. Иркутск, ул. Байкальская, д. 259
тел.: (3952) 794-683, факс: (3952) 794-546
Генеральный директор Борисычев А.В.</t>
  </si>
  <si>
    <t xml:space="preserve">ПС 110 кВ Шестой Рудник, г.Краснокаменск, Забайкальский край
</t>
  </si>
  <si>
    <t xml:space="preserve">Заказчик: Госкорпорация "Росатом"                       119017, Москва, ул. Большая Ордынка, 24
тел: (499) 949-4535                              Генеральный директор Лихачев А.Е                                              Подрядчик: АО «Группа «СВЭЛ»
620010, Свердловская область, г. Екатеринбург, ул. Черняховского, 61
тел.(343) 253-50-13
Директор департамента продаж масляных трансформаторов Певцов Д.И. </t>
  </si>
  <si>
    <t>Заказчик: ПАО Транснефть                    123112, г.Москва, Пресненская набережная д.4 стр.2, тел. (495) 950-81-78                      Президент Токарев Н.П.                            Подрядчик: ООО «ПЛК»
197341, г. Санкт-Петербург, Коломяжский пр-т д. 33, корп. 2, лит. А, пом. 57-Н 
тел. (812) 400-8-004
Генеральный  директор Асиновский И.Б.</t>
  </si>
  <si>
    <t>Заказчик: АО "Группа "Илим"
191025, г. Санкт-Петербург, ул. Марата,17,
Филиал АО "Группа "Илим" в г. Братске, 665718, РФ, Иркутская обл., г. Братск
Тел: (3953) 340649                                        Директор филиала Паньшин А.В.</t>
  </si>
  <si>
    <t>ВЛ 110 кВ и ПС 110/10 кВ системы внешнего электроснабжения объекта «Угольный перегрузочный терминал в районе м. Бурный, 
пгт Ванино, Хабаровский край</t>
  </si>
  <si>
    <t xml:space="preserve">Заказчик: ООО "ДВВП" (Дальневосточный Ванинский порт)
682860, Хабаровский край, р-н Ванинский, рп Ванина,ул. Железнодорожная, 1, пом 16 Генеральный директор Сохраннов В.К.
Подрядчик: АО "Гидроэлектромонтаж"
675000, Амурская область, г. Благовещенск, ул. Зейская, 225/3
Генеральный директор Васильев В.А. </t>
  </si>
  <si>
    <t>Рогунская ГЭС,
г. Рогун, Республика Таджикистан</t>
  </si>
  <si>
    <t>Заказчик: ОАО Рогунская ГЭС                          Республика Таджикистан, 735417, г. Рагун, улица Сохтмончиён 40
тел: (992 3134) 22436 (992 3134) 21517 Директор: Хайрулло Сафарзода 
Генподрядчик:                                                        ОАО Точикгидроэлектромонтаж
734060, Республика Таджикистан, г. Душанбе, ул. Н. Хувайдуллоева, д. 377/1
Генеральный директор Сафаров И.Д.</t>
  </si>
  <si>
    <t>ПС 110 кВ  Городская, 
г. Братск,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</si>
  <si>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</si>
  <si>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 xml:space="preserve">Строительно-монтажные, пусконаладочные работы по объекту : «Электроснабжение мелких потребителей» (ПС Городская) с поставкой оборудования для нужд филиала ОАО «ИЭСК» Северные электрические сети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</si>
  <si>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Старцев М.В.</t>
  </si>
  <si>
    <t>Заказчик: ОАО «Иркутская электросетевая компания»                                                             664033, г. Иркутск, ул. Лермонтова 257,             тел: (3952) 792-459 ,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Старцев М.В.</t>
  </si>
  <si>
    <t>ПС 220 кВ Петровск-Забайкальская,                  г.Петровск-Забайкальский,  
Забайкальский край</t>
  </si>
  <si>
    <t xml:space="preserve">Заказчик: Филиал ОАО «ФСК ЕЭС»- МЭС Сибири.
660099, Красноярский край, Красноярск, ул. Ады Лебедевой, 117, тел. (391) 265-95-00 Генеральный директор Зильберман С.М.
Подрядчик: ООО «Элвест»
620137, г. Екатеринбург, ул. Студенческая, 1, корп.18, оф.208, тел.(343) 383-46-18
Генеральный директор Кочедыков М.В. </t>
  </si>
  <si>
    <t xml:space="preserve">ПС 220 кВ Мамакан, 
ПС 110 кВ Перевоз,
Бодайбинский район, Иркутская область
</t>
  </si>
  <si>
    <t>Сроительно-монтажные и пусконаладочные работы по титулу: «Установка батарей статических конденсаторов на подстанциях АО «Витимэнерго» Бодайбинского энергорайона» ( ПС 220 кВ Мамакан, ПС 110 кВ Перевоз)</t>
  </si>
  <si>
    <t>Заказчик: ОАО "Группа Илим"
191025, г. Санкт-Петербург, ул. Марата,17,
Филиал  ОАО "Группа Илим" в г. Братске, 665718, Иркутская область, г. Братск
тел: (3953) 340106                                                            Директор филиала Паньшин А.В.</t>
  </si>
  <si>
    <t>Заказчик: АО  Объединённая теплоэнергетическая компания (АО "ОТЭК")
119017, г. Москва, пер.Погорельский, д.7, ст.2 тел. 7 (495) 357-00-14                                               Генеральный директор Сухотина К.А.
Подрядчик: ООО «Амурэлектрощит»
675014, Амурская обл., г.Благовещенск, 
ул. Пионерская, 204
Директор Козлов В.В.</t>
  </si>
  <si>
    <t>ТЭЦ г. Краснокаменск,                                  г. Краснокаменск,
Забайкальский край</t>
  </si>
  <si>
    <t>ПС 220/110/10 кВ Правобережная,
Иркутская обл.асть</t>
  </si>
  <si>
    <t xml:space="preserve">ПС 110/10 кВ Юбилейная, 
г. Красноярск
</t>
  </si>
  <si>
    <t>Заказчик: ПАО «МРСК Сибири»
660021, Красноярский край, г. Красноярск, 
ул. Бограда, 144а;                                     Генеральный директор Иванов В.В.  
Подрядчик: АО "Гидроэлектромонтаж"
675014, Амурская область, г.Благовещенск, ул.Пионерская, 204
Генеральный директор Васильев В.А.</t>
  </si>
  <si>
    <t xml:space="preserve">Работы по монтажу концевых муфт на ПС 110кВ «Юбилейная» в г. Красноярске                                                                        </t>
  </si>
  <si>
    <t>Заказчик: ОАО "Группа Илим"
191025, г. Санкт-Петербург, ул. Марата,17,
Филиал  ОАО "Группа Илим" в г. Братске, 665718, Иркутская область, г. Братск
тел: (3953) 340106                                                  Директор филиала Паньшин А.В.</t>
  </si>
  <si>
    <t>Работы по прогрузке автоматических выключателей</t>
  </si>
  <si>
    <t xml:space="preserve">ПС 220/110/10 кВ Заводская,
г. Братск, Иркутская область
</t>
  </si>
  <si>
    <t>Заказчик: 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</si>
  <si>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</si>
  <si>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 xml:space="preserve">Строительно-монтажные и пусконаладочные работы по объекту: «Замена ТН 110-500 кВ» (ПС Коршуниха), </t>
  </si>
  <si>
    <t>ПС 500/220/35 кВ Озерная, 
 г. Тайшет,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</si>
  <si>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пер.Энергетиков 6 
Директор Коваленко Э.А.</t>
  </si>
  <si>
    <t>Тайшетский Алюминиевый Завод, г. Тайшет, Иркутская область</t>
  </si>
  <si>
    <t xml:space="preserve">Заказчик: Общество с ограниченной ответственностью "РУСАЛ Тайшетский Алюминиевый Завод" (ООО РУСАЛ Тайшет") в лице Генерального директора ООО "Инженерно-Строительная Компания" (ООО "ИСК") Перцева В.А. 
665023, Иркутская обл., Тайшетский р-н, с.Старый Акульшет, ул.Советская, д.41            </t>
  </si>
  <si>
    <r>
      <t xml:space="preserve">Заказчик: Общество с ограниченной ответственностью "РУСАЛ Тайшетский Алюминиевый Завод" (ООО РУСАЛ Тайшет") в лице Генерального директора ООО "Инженерно-Строительная Компания" (ООО "ИСК") Перцева В.А. 
665023, Иркутская обл., Тайшетский р-н, с.Старый Акульшет, ул.Советская, д.41     </t>
    </r>
    <r>
      <rPr>
        <sz val="9"/>
        <color rgb="FFFF0000"/>
        <rFont val="Times New Roman"/>
        <family val="1"/>
        <charset val="204"/>
      </rPr>
      <t xml:space="preserve">        </t>
    </r>
    <r>
      <rPr>
        <sz val="9"/>
        <rFont val="Times New Roman"/>
        <family val="1"/>
        <charset val="204"/>
      </rPr>
      <t xml:space="preserve">                                    Подрядчик: «Абаканское строительно-монтажное управление «Стальконструкция»                                     655004, Республика Хакасия, г. Абакан, ул. Володарского, д. 6
тел./факс: (3902)34-24-60
Директор:  Шабалкин Д.А.</t>
    </r>
  </si>
  <si>
    <t>Заказчик: ОАО "Группа Илим"
191025, г. Санкт-Петербург, ул. Марата,17,
Филиал  ОАО "Группа Илим" в г. Усть-Илимске                                                                                    666684, Иркутская область, г. Усть-Илимск, промышленная площадка ЛПК
тел. (39535) 93196                                                Директор по закупкам Стороженко С.А.</t>
  </si>
  <si>
    <t>Группа Илим,                                                   г. Усть-Илимск, Иркутская область</t>
  </si>
  <si>
    <t>ПС 220 кВ Ванино,
пгт Ванино, Хабаровский край</t>
  </si>
  <si>
    <t>Заказчик: АО «Прайм»
682860, Хабаровский край, Ванинский район, рп Ванино, Приморский бульвар, д. 8, пом 7
Генеральный директор Дудуев С.И.
Подрядчик: АО "Гидроэлектромонтаж"
675000, Амурская область, г. Благовещенск, ул. Зейская, 225/3
Генеральный директор  Васильев В.А.</t>
  </si>
  <si>
    <t xml:space="preserve">ПС 220 кВ Томмот,
п. Томмот, Республика Саха (Якутия) 
</t>
  </si>
  <si>
    <t>Заказчик: ОАО «ФСК ЕЭС» 
117630, г. Москва, ул. Академика Челомея, д.5А, филиал ОАО «ФСК ЕЭС»- МЭС Востока                                                                        680000, г. Хабаровск, ул. Дзержинского, 47 
тел. (4212) 26-19-68, факс (4212) 30-86-94                                                             Директор Смирнов С.Г.                                                                     Подрядчик: АО "Гидроэлектромонтаж"
675000, Амурская область, г. Благовещенск, ул. Зейская, 225/3
Генеральный директор Васильев В.А.</t>
  </si>
  <si>
    <t>ПС 500/220/35 кВ Озерная,
 г. Тайшет,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</si>
  <si>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пер.Энергетиков 6 
Директор Коваленко Э.А.</t>
  </si>
  <si>
    <t>СМР по объекту «Строительство ПС 500/220/35 кВ Озерная 2 пусковой комплекс» по программе «Технологическое присоединение к электрическим сетям филиала»</t>
  </si>
  <si>
    <t xml:space="preserve">Богучанская ГЭС
г. Кодинск, Кежемский район, Красноярский край
</t>
  </si>
  <si>
    <t>Оснащение высоковольтных вводов блочных трансформаторов (Т7, Т8, Т9) и автотрансформаторов (1АТ, 2АТ) Богучанской ГЭС устройствами контроля изоляции вводов 220 кВ (КИВ-220)</t>
  </si>
  <si>
    <t xml:space="preserve">ТЭЦ-16,
г. Железногорск-Илимский, Иркутская область
</t>
  </si>
  <si>
    <t>ПС 110\35\10 кВ Иваническая,
Аларский район,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</si>
  <si>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22,тел. 8(3955)502740
Директор филиала  Старцев М.В.</t>
  </si>
  <si>
    <t xml:space="preserve">Строительно-монтажные, пусконаладочные работы по объекту: «ПС 110/35/10 "Иваническая" Замена МВ-110 Т-1, МВ-110 Т-2 на элегазовые (с заменой ТТ)»  в объёме реконструкции строительно-монтажные, пусконаладочные работ по объекту: «ПС 110/35/10 "Иваническая" Замена МВ-110 Т-1, МВ-110 Т-2 на элегазовые (с заменой ТТ)»  в объёме реконструкции «ПС 110\35\10 кВ "Иваническая" » (ивн.№ 7000041604) » (ивн.№ 7000041604)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</si>
  <si>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пер.Энергетиков 6 
Директор Коваленко Э.А.</t>
  </si>
  <si>
    <t xml:space="preserve"> ПС 110/10 кВ Юго-Западная,
г. Краснодар, Краснодарский край </t>
  </si>
  <si>
    <t>Заказчик: ПАО "Кубаньэнерго" 
350033, г. Краснодар, ул. Ставропольская, 2
тел. 8 (8612) 68-59-13, 8 (861) 268-59-13 Генеральный директор Сергеев С.В.
Подрядчик: ООО "СК "Регионспецмонтаж" (ООО "СК "РСМ") 
344018, г. Ростов-на-Дону,                                пр.Буденновский, д. 80, офис 507
тел: 8(863)-268-93-86  
Управляющий директор Прохоров М.А.</t>
  </si>
  <si>
    <t>Заказчик: АО Объединённая теплоэнергетическая компания (АО "ОТЭК")
119017, г. Москва, пер.Погорельский, д.7, ст.2 тел. 7 (495) 357-00-14                                            Генеральный директор Сухотина К.А
Подрядчик: ООО «ЭКРА-Сибирь» 
660064, г. Красноярск, ул. Капитанская, 14, 
оф. 257
Генеральный директор  Мироненко А.М.</t>
  </si>
  <si>
    <t>ТЭЦ г. Краснокаменск,                                 г. Краснокаменск,
Забайкальский край</t>
  </si>
  <si>
    <t>ПС 110/35/10 кВ № 54 Академгородок, 
г. Красноярск</t>
  </si>
  <si>
    <t>АО "Группа "Илим"
191025, г. Санкт-Петербург, ул. Марата,17,
Филиал АО "Группа "Илим" в г. Братске, 665718, Иркутская обл., г. Братск
тел: (3953) 340649                                                Директор филиала Паньшин А.В.</t>
  </si>
  <si>
    <t xml:space="preserve">ПМП Металлургмонтаж,
г. Бийск Алтайский край, 
</t>
  </si>
  <si>
    <t>Заказчик: ООО ПМП «Металлургмонтаж»
659315, Алтайский край, г. Бийск, ул. Социалистическая 17 «а», оф. 21                            Генеральный директор Лобыкин А.Ю.</t>
  </si>
  <si>
    <t>Заказчик: ОАО «Иркутская электросетевая компания»
664033, г. Иркутск, ул. Лермонтова 257,          тел: (3952) 792-459, факс: (3952) 792-461
Филиал ОАО «Иркутская электросетевая компания» Западные электрические сети 
665253 г.Тулун, пер.Энергетиков 6               Директор филиала Коваленко Э.А.
Подрядчик: ООО «Региональная торгово-транспортная компания» (РТТК)
672012, Забайкальский край, г. Чита, а/я 518
Генеральный директор  Артемкин О.С.</t>
  </si>
  <si>
    <t>СМР, ПНР, поставка оборудования по объекту "Строительство ПС 500/220/35 кВ Озерная 2 пусковой комплекс"</t>
  </si>
  <si>
    <t>Заказчик: АО "Группа "Илим"
191025, г. Санкт-Петербург, ул. Марата,17,
Филиал АО "Группа "Илим" в г. Братске, 665718, Иркутская обл., г. Братск
тел: (3953) 340649                                         Директор филиала Паньшин А.В.</t>
  </si>
  <si>
    <t>Профилактические испытания электрооборудования на объектах Хлорного производства Филиала АО "Группа "Илим" в г. Братске</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</si>
  <si>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Щёкин А.И.</t>
  </si>
  <si>
    <t>ПС 35/6 кВ Боково, 
г. Иркутск</t>
  </si>
  <si>
    <t>Заказчик: АО «Братская электросетевая компания»
665710,Иркутская область,  г. Братск, ул.Дружбы,45 
Генеральный директор Кабаев С.И.</t>
  </si>
  <si>
    <t>Учебная трансформаторная подстанция 35/10 кВ,
 г. Братск, Иркутская область</t>
  </si>
  <si>
    <t>Заказчик: ФГБОУ ВО «БрГУ»
665709, Иркутская обл., г. Братск, жилой район Энергетик, ул. Макаренко, 40                Ректор Ситов И.С.</t>
  </si>
  <si>
    <t>Выполнение работ по перевозке и монтажу оборудования учебной трансформаторной подстанции 35/10 кВ для нужд КУИЦ «Энергетика» Братского государственного университета</t>
  </si>
  <si>
    <t>Заказчик: 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</si>
  <si>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 xml:space="preserve">Строительно-монтажные и пусконаладочные работы по объекту: "Замена ВМ типа ВМТ на элегазовые" 
</t>
  </si>
  <si>
    <t xml:space="preserve">ПС 220/10 кВ Шелехово,
г. Шелехов, Иркутская область </t>
  </si>
  <si>
    <t>ПС Ново-Ленино 220/110/6 кВ,
г. Иркутск</t>
  </si>
  <si>
    <t>ПС 35/10 кВ Высота,                                Иркутская область</t>
  </si>
  <si>
    <t xml:space="preserve">Разработка проектной и рабочей документации, инженерные изыскания, негосударственная экспертиза проектной документации и инженерных изысканий по титулу: «ПС 35/10 кВ Высота с ВЛ 35 кВ» </t>
  </si>
  <si>
    <t>ПС 500/110/35 кВ Тайшет,
ПС 500/220/35 кВ Озерная,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</si>
  <si>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пер.Энергетиков 6 
Директор филиала Коваленко Э.А.</t>
  </si>
  <si>
    <t xml:space="preserve">ПС 220/35/10 кВ Удоканский ГМК 
I этап, 
п. Удокан, Забайкальский край, Каларский район
</t>
  </si>
  <si>
    <t xml:space="preserve">Заказчик: ООО «Байкальская горная компания»
674153, Забайкальский край, Каларский р-он, пос. Удокан, ул. Фабричная, дом 1.
Генеральный директор Миронов  Г.С. 
</t>
  </si>
  <si>
    <t>Заказчик: АО "Группа "Илим"
191025, г. Санкт-Петербург, ул. Марата,17,
Филиал АО "Группа "Илим" в г. Братске, 665718, Иркутская обл., г. Братск
тел: (3953) 340649                                            Директор филиала Паньшин А.В.</t>
  </si>
  <si>
    <t>ПС 35/10 кВ Индустриальная,     Иркутская область</t>
  </si>
  <si>
    <t>Разработка проектной и рабочей документации, инженерные изыскания, провести негосударственную экспертизу проектной документации и инженерных изысканий по титулу: «ПС 35/10 кВ Индустриальная с ВЛ 35 кВ»</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</si>
  <si>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Западные электрические сети 
665253 г.Тулун, пер.Энергетиков 6 
Директор филиала Коваленко Э.А.</t>
  </si>
  <si>
    <t>Заказчик: ООО "ГРК "Быстринское"
672000, Забайкальский край, г. Чита, ул. Лермонтова, д. 2                                              Генеральный директор Попов А.Н.
Генподрядчик: ООО "Востокгеология"
672003, г. Чита, ул.Трактовая, 35б, стр. 9,
Генеральный директор Шевчук Г.А.</t>
  </si>
  <si>
    <t>Объекты ООО ГРК Быстринское, Забайкальский край</t>
  </si>
  <si>
    <t>Тайшетский Алюминиевый Завод, 
г. Тайшет, Иркутская область</t>
  </si>
  <si>
    <t>Заказчик: Общество с ограниченной ответственностью "РУСАЛ Тайшетский Алюминиевый Завод" (ООО РУСАЛ Тайшет") в лице Генерального директора ООО "Инженерно-Строительная Компания" (ООО "ИСК") Перцева В.А.
665023, Иркутская обл., Тайшетский р-н, с.Старый Акульшет, ул.Советская, д.41</t>
  </si>
  <si>
    <t xml:space="preserve">Братский завод ферросплавов,  
г. Братск, Иркутская область
</t>
  </si>
  <si>
    <t>ПС 110/35/10 кВ Дачная, 
Иркутская область</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</si>
  <si>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Южные электрические сети
664056, г. Иркутск, ул. Безбокова, 38
тел./факс.: (3952) 793-203
Директор филиала Прошутинский А.Л.</t>
  </si>
  <si>
    <t>Заказчик: ОАО «Иркутская электросетевая компания»
664033, г. Иркутск, ул. Лермонтова 257,        тел: (3952) 792-459, факс: (3952) 792-461
Филиал ОАО «Иркутская электросетевая компания» Западные электрические сети 
665253 г.Тулун, пер.Энергетиков 6         Директор филиала Коваленко Э.А.
Подрядчик: ООО «Региональная торгово-транспортная компания» (РТТК)
672012, Забайкальский край, г. Чита, а/я 518
Генеральный директор Артемкин  О.С.</t>
  </si>
  <si>
    <t>ПС 110/35 кВ Сулинская, 
г. Каменск-Шахтинский, Ростовская область</t>
  </si>
  <si>
    <t>Заказчик: ООО «Второй Ветропарк ФРВ» 123112,г. Москва, Пресненская набережная,   дом 10, эт 18 пом 2                                                      Генеральный директор Полякова В.И.
Генподрядчик: ЗАО «ГК «Электрощит» ТМ Самара»                                                                         443048, г. Самара, пос. Красная Глинка, корпус заводоуправления ОАО "Электрощит"
т.(846) 273-38-49                                                     Президент: Бриссе Э.Б.
Подрядчик: ООО "СК "Регионспецмонтаж" (ООО "СК "РСМ") 
344018, г. Ростов-на-Дону, пр.Буденновский,             д. 80, офис 507, тел: 8(863)-268-93-86  
Управляющий директор Прохоров М.А.</t>
  </si>
  <si>
    <t>ПС 110/35/10 кВ № 54 Академгородок,
г. Красноярск</t>
  </si>
  <si>
    <t>Заказчик: ПАО «МРСК Сибири»
660021, Красноярский край, г. Красноярск, 
ул. Бограда, 144а;                                      Генеральный директор Иванов В.В. 
Подрядчик: ООО «Камаэлектромонтаж»
94044, г. Санкт-Петербург, ул. Набережная Пироговская, д. 21, лит А, офис 54
Директор  Ребров А.Н.</t>
  </si>
  <si>
    <t>Электромонтажные и пусконаладочные работы по реконструкции оборудования 1 и 2 секции РУ-6 кВ РП-2 в рамках реализации инвестиционного проекта "Реконструкция РП-2" ВПЦ ПК</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</si>
  <si>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Щёкин А.И.</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</si>
  <si>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Щёкин А.И.</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</si>
  <si>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Щёкин А.И.</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</si>
  <si>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Западные электрические сети 
665253 г.Тулун, пер.Энергетиков 6
Директор филиала Коваленко Э.А.</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</si>
  <si>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Западные электрические сети 
665253 г.Тулун, пер.Энергетиков 6 
Директор филиала Коваленко Э.А.</t>
  </si>
  <si>
    <t>Строительно-монтажные и пусконаладочные работы по объекту: " Замена высоковольтных вводов 500 кВ автотрансформатора АТ-3, типа ЕТА 550/1250/1675 на вводы ГКТ III -60/550/1250 01 на ПС 500 кВ Озерная, инв. №8000261576"</t>
  </si>
  <si>
    <t xml:space="preserve">ПС 220/110/35/10 кВ Чара,
п. Новая Чара, Забайкальский край, Каларский район
</t>
  </si>
  <si>
    <t xml:space="preserve">Заказчик: ПАО "ФСК ЕЭС"                                117630, г. Москва, ул. Академика Челомея, д.5А.,                                                                            Генеральный директор Ливинский П.А
Подрядчик: ООО СК «ВОСТОК»,
614036, Пермский край, г. Пермь, 
ул. Космонавта Беляева, д. 19, оф. 203 Генеральный директор Лукин А.Н.
</t>
  </si>
  <si>
    <t>Заказчик: АО "Группа "Илим"
191025, г. Санкт-Петербург, ул. Марата,17,
Филиал АО "Группа "Илим" в г. Братске, 665718, Иркутская обл., г. Братск
тел: (3953) 340649                                                 и.о. директора филиала Михеенко В.В.</t>
  </si>
  <si>
    <t>Проведение испытаний автоматических выключателей на щитах КИПиА Хлорного производства в цехах № 1, 2, 3, 4, 5 т цехе рассолопромысла</t>
  </si>
  <si>
    <t>АО "Группа "Илим"
191025, г. Санкт-Петербург, ул. Марата,17,
Филиал АО "Группа "Илим" в г. Братске, 665718, Иркутская обл., г. Братск
тел: (3953) 340649                                                          и.о. директора филиала Михеенко В.В.</t>
  </si>
  <si>
    <t>Проведение испытаний и измерений  электрооборудования на ПХЦ и ПРиЭ Филиала АО "Группа "Илим" в г. Братске</t>
  </si>
  <si>
    <t>ПС 35/6 кВ Горводопровод,
г.Братск, Иркутская область</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</si>
  <si>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</si>
  <si>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Замена КЛ-35 кВ до ПС Горводопровод для нужд филиала ОАО «ИЭСК» «Северные электрические сети»</t>
  </si>
  <si>
    <t>ПС 110 кВ Новая Лисиха,                                г.Иркутск</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</si>
  <si>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Директор филиала Ковалев П.В.
Генподрядчик:  ООО «ЕвроСибЭнерго-инжиниринг»
664050,г. Иркутск, ул. Байкальская, д. 259
тел.: (3952) 794-683, факс: (3952) 794-546
Генеральный директор Борисычев А.В.</t>
  </si>
  <si>
    <t>ПС 220 кВ Таксимо, 
 п. Таксимо, Республика Бурятия</t>
  </si>
  <si>
    <t xml:space="preserve">ПАО «МРСК Сибири»
660021, Красноярский край, г. Красноярск, 
ул. Бограда, 144а;                                       Генеральный директор Иванов В.В. </t>
  </si>
  <si>
    <t>Сроительно-монтажные и пусконаладочные работы по титулу "Модернизация ПС 110/10 кВ №33 "Молодежная" организация элементов цифровой сети г. Красноярск" для нужд филиала ПАО "МРСК Сибири"- "Красноярскэнерго"</t>
  </si>
  <si>
    <t>Заказчик: Общество с ограниченной ответственностью «Малые ГЭС Ставрополья и Карачаево-Черкессии» (ООО «МГЭС Ставрополья и КЧР») в лице АО "УК ГидроОГК" 
125362, г. Москва, Строительный проезд, д. 7а, корпус 5, офис этаж 2 комната 4
Генеральный директор АО "УК ГидроОГК" 
Карпухин Н.И.</t>
  </si>
  <si>
    <t>Работы по корректировке проектной и рабочей документации с прохождением негосударственной экспертизы проекта, СМР и ПНР в соответствии с откорректированной проектной документацией по титулу "Спортивно-оздоровительный комплекс" ЗАО "Ванкорнефть" 1 этап ВЛ 35 кВ "Отпайка на ПС "Спортивно-оздоровительный комплекс", ПС 35/10 кВ "Спортивно-оздоровительный комплекс" (1- 4очереди)".</t>
  </si>
  <si>
    <t>Заказчик: 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</si>
  <si>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Строительно-монтажные, пусконаладочные работы по объекту: «Оснащение новыми устройствами АЧР присоединений 110 кВ ЦКК-1, ЦКК-2,ЦКК-3, ЦКК-4, ЦКК-5 ПС-220 кВ «Опорная») (инв. №905040289д)</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</si>
  <si>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</si>
  <si>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Заказчик: АО "Группа "Илим"
191025, г. Санкт-Петербург, ул. Марата,17,
Филиал АО "Группа "Илим" в г. Братске, 665718, Иркутская обл., г. Братск
тел: (3953) 340649                                                    и.о. директора филиала Михеенко В.В.</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</si>
  <si>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Щёкин А.И.</t>
  </si>
  <si>
    <t>СМР и ПНР по объекту: ПС 500 кВ Иркутская. Замена масляного выключателя 220кВ ШСВ-2 на элегазовый" в составе объектов основных средств:
- «ГПП-1 ОРУ-220 КВ ЯЧЕЙКА ШСВ-2» (инв.№ 700Б001487)</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</si>
  <si>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Щёкин А.И.</t>
  </si>
  <si>
    <t>ПС 35/10 кВ Введенщина, 
Иркутская область</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</si>
  <si>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Южные электрические сети
664056, г. Иркутск, ул. Безбокова, 38
тел./факс.: (3952) 793-203
Директор филиала  Прошутинский А.Л.</t>
  </si>
  <si>
    <t xml:space="preserve">ПС 220 кВ Мамакан,                                           п. Мамакан, Бодайбинский район, Иркутская область
</t>
  </si>
  <si>
    <t xml:space="preserve">Заказчик: ООО «Байкальская горная компания» 
674153, Забайкальский край, Каларский р-он, пос. Удокан, ул. Фабричная, дом 1.
Генеральный директор Миронов Г.С.
</t>
  </si>
  <si>
    <t xml:space="preserve">Временные ВЛЗ 10 кВ №1, №2, №3, 
п. Новая Чара, Забайкальский край, Каларский район
</t>
  </si>
  <si>
    <t xml:space="preserve">ПС 110/10 кВ Юбилейная,                                   г. Красноярск
</t>
  </si>
  <si>
    <t>Вертикальная планировка действующей части ПС 110/IОкВ «Юбилейная»</t>
  </si>
  <si>
    <t xml:space="preserve">ТЭЦ-16,  
г. Железногорск-Илимский, Иркутская область
</t>
  </si>
  <si>
    <t>ПС 220/110/10 кВ Опорная,
ПС 220/110/10 кВ БЛПК
г. Братск, Иркутская область</t>
  </si>
  <si>
    <t>Заказчик: 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</si>
  <si>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</si>
  <si>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 xml:space="preserve">ПС 220 кВ Мамакан,                                          п. Мамакан, Бодайбинский район, Иркутская область
</t>
  </si>
  <si>
    <t>Заказчик: ПАО "Полюс"                                             123056, г. Москва, ул. Красина, д. 3, стр.1       тел: (495) 641-33-77 в лице АО «Витимэнерго» 
666902, Иркутская область, г. Бодайбо, Подстанция, д. 4, тел.: (39561) 56060 
Директор Машковский А.Р.                           подрядчик: ЗАО «Завод электротехнического оборудования» 
182113, Россия, Псковская область, г. Великие Луки, Проспект Октябрьский, 79
Генеральный директор  Мунштуков Д.В.</t>
  </si>
  <si>
    <t>ПС 35/6 кВ Боково,
г. Иркутск</t>
  </si>
  <si>
    <t>Заказчик: АО "Группа "Илим"
191025, г. Санкт-Петербург, ул. Марата,17,
Филиал АО "Группа "Илим" в г. Братске, 665718, Иркутская обл., г. Братск
тел: (3953) 340649                                                      и.о. директора филиала Михеенко В.В.</t>
  </si>
  <si>
    <t xml:space="preserve">Заказчик: ОАО «РЖД»
107174, Москва, Новая Басманная ул., д. 2
Генеральный директор – председатель правления ОАО "РЖД" Белозёров О.В. 
Подрядчик: ООО "Объединенная строительная компания 1520" (ОСК 1520)
105082, г.Москва, Переведеновский пер., д.13, стр.5, тел.:8(495)679-82-36, ф.:8(495)679-82-37
Генеральный директор Антонцев А.С. </t>
  </si>
  <si>
    <t xml:space="preserve">Объекты хозяйства электрификация и электроснабжения железнодорожной инфраструктуры Восточного полигона ОАО РЖД , в том числе:                           </t>
  </si>
  <si>
    <t>ПС Тяговая-1, ПС Тяговая-2, 
г. Железногорск-Илимский,
Иркутская область</t>
  </si>
  <si>
    <t>Заказчик: ООО «Транс Алгоритм»
107140, г. Москва, ул. Малая Красносельская д. 2/8, корп. 7, тел./факс (495) 980-13-27                                                                    Генеральный директор Николаев В.М.</t>
  </si>
  <si>
    <t>АТП 110/27,5 кВ 909 км, 
909 км. Восточно-Сибирской железной дороги, Иркутская область</t>
  </si>
  <si>
    <t>ТП 110/27,5 кВ Кежемская,
п. Кежемский, Братский район, Иркутская область</t>
  </si>
  <si>
    <t>ТП 110/27,5 кВ Коршуниха, 
г.Железногорск, Нижнеилимский район, Иркутская область</t>
  </si>
  <si>
    <t>ТП 110/27,5 кВ Чукша,
п.Чукша, Чункий район, Иркутская область</t>
  </si>
  <si>
    <t>ТП 110/27,5 кВ Черная, 
п.Черная, Нижнеилимский район, Иркутская область</t>
  </si>
  <si>
    <t>ТП 110/27,5 кВ  Новочунка, 
п. Новочунка, Чунский район, Иркутская область</t>
  </si>
  <si>
    <t>АТП 110/27,5 кВ Ния-Звездная, 
перегон Ирдыкан-Ния Восточно-Сибирской железной дороги, Усть-Кутский район, Иркутская область</t>
  </si>
  <si>
    <t>ТП 220/110/27,5 кВ Якурим, 
 г.Усть-Кут, Иркутская область</t>
  </si>
  <si>
    <t xml:space="preserve">ТП 110/27,5 кВ Невельская, 
Тайшетский район, Иркутская область </t>
  </si>
  <si>
    <t>ТП 110/27,5 кВ Семигорск
Нижнеилимском район,
Иркутская область</t>
  </si>
  <si>
    <t xml:space="preserve">ТП 110/27,5 кВ Зяба
Братский район,
Иркутская область
 </t>
  </si>
  <si>
    <t>ТП 110/27,5 кВ Ручей,
Иркутская область, Усть-Кутский район</t>
  </si>
  <si>
    <t>ТП 110/27,5 кВ Хребтовая
Иркутская обл. Нижнеилимский р-н</t>
  </si>
  <si>
    <t>ТП 110/27,5 кВ Усть-Кут 
 г.Усть-Кут, Иркутская область</t>
  </si>
  <si>
    <t>ТП Чуна, ТП Огневка, ТП Маргудон, ТП Турма, Иркутская область</t>
  </si>
  <si>
    <t>ТП Кунерма, ТП Якурим,
Иркутская область</t>
  </si>
  <si>
    <t>ТП 110/27,5 кВ Видим, 
п.Видим, Нижнеилимский район, Иркутская область</t>
  </si>
  <si>
    <t>ТП Дабан; ТП Ангоя; ТП Кичера; ТП Улькан; ТП Янчукан; ТП Анагракан; ТП Окусикан; ТП Перевал; ТП Таксимо; ТП Звездная; ТП Ния, Иркутская область</t>
  </si>
  <si>
    <t xml:space="preserve">ТП Забайкальск,
Забайкальский край
</t>
  </si>
  <si>
    <t xml:space="preserve">Заказчик: ОАО «РЖД»
107174, Москва, Новая Басманная ул., д. 2
Генеральный директор – председатель правления ОАО "РЖД"  Белозёров О.В.
Генподрядчик: АО «РЖДстрой»
105005, Москва, улица Казакова, 8, ст 6
Подрядчик: АО «Форатек ЭТС»
620017, Свердловская область, город Екатеринбург, ул. Фронтовых бригад, дом 33
Генеральный директор Галыгин А.И. </t>
  </si>
  <si>
    <t xml:space="preserve">Заказчик: ОАО «РЖД»
107174, Москва, Новая Басманная ул., д. 2
Генеральный директор – председатель правления ОАО "РЖД" О.В. Белозёров
Генподрядчик: АО «РЖДстрой»
105005, Москва, улица Казакова, 8, ст 6
Подрядчик: АО «Форатек ЭТС»
620017, Свердловская область, город Екатеринбург, ул. Фронтовых бригад, дом 33
Генеральный директор Галыгин А.И. </t>
  </si>
  <si>
    <t>Заказчик: ОАО «РЖД»
107174, Москва, Новая Басманная ул., д. 2
Генеральный директор – председатель правления ОАО "РЖД" О.В. Белозёров 
Генеральный подрядчик:  ПАО «Ленгипротранс»
196105, Санкт-Петербург, Московский проспект, 143                                                 Генеральный директор Голубовский Д.В.</t>
  </si>
  <si>
    <t xml:space="preserve">Заказчик: ОАО «РЖД»
107174, Москва, Новая Басманная ул., д. 2
Генеральный директор – председатель правления ОАО "РЖД" О.В. Белозёров
Генеральный подрядчик: ООО «Желдорпроект»
129301, г. Москва, пр-т Мира, 186 корп.1
тел. 8-495-649-82-90
Генеральный директор Фролов С.А. </t>
  </si>
  <si>
    <t>Заказчик: ОАО «РЖД»
107174, Москва, Новая Басманная ул., д. 2
Генеральный директор – председатель правления ОАО "РЖД" О.В. Белозёров 
Генеральный подрядчик: ООО "СРВ Групп"
117105, г. Москва, Варшавское шоссе, д. 33, офис 17
Генеральный директор Соснин В.В.</t>
  </si>
  <si>
    <t>226.1</t>
  </si>
  <si>
    <t>226.2</t>
  </si>
  <si>
    <t>226.3</t>
  </si>
  <si>
    <t>226.4</t>
  </si>
  <si>
    <t>226.5</t>
  </si>
  <si>
    <t>226.6</t>
  </si>
  <si>
    <t>226.7</t>
  </si>
  <si>
    <t>226.8</t>
  </si>
  <si>
    <t>226.9</t>
  </si>
  <si>
    <t>226.10</t>
  </si>
  <si>
    <t>226.11</t>
  </si>
  <si>
    <t>226.12</t>
  </si>
  <si>
    <t>226.13</t>
  </si>
  <si>
    <t>226.14</t>
  </si>
  <si>
    <t>226.15</t>
  </si>
  <si>
    <t>226.16</t>
  </si>
  <si>
    <t>226.17</t>
  </si>
  <si>
    <t>Объем работ, тыс. руб. без НДС</t>
  </si>
  <si>
    <t>ТП 220 кВ Улькан, 
Казачинско-Ленский район, Иркутская область</t>
  </si>
  <si>
    <t>ТП 220 кВ Кунерма,
Казачинско-Ленский район, 
Иркутская область</t>
  </si>
  <si>
    <t>Работы по монтажу оборудования КРУЭ 500 кВ (АВВ)</t>
  </si>
  <si>
    <t xml:space="preserve">Демонтаж оборудования и кабельной трассы РП-7А и РП-7Б по объекту  "Реконструкция целлюлозного производства. 1-я очередь строительства. Варочный отдел хвойного потока. Отдел промывки, сортирования и кислородной делигнификации хвойного потока. Отбельный отдел хвойного потока" (проект "Большой Братск") </t>
  </si>
  <si>
    <t xml:space="preserve">Электромонтажные работы по устройству временного освещения  в сушильном цехе ЦП-2 по объекту "Реконструкция целлюлозного производства. 1-я очередь строительства. Сушильный отдел хвойного потока" (проект "Большой Братск") </t>
  </si>
  <si>
    <r>
      <t xml:space="preserve">Строительно-монтажные, пусконаладочные  работы и поставка оборудования по объекту капитального строительства "Замена  масляных выключателей МВ-110 типа МКП-110 на элегазовые выключатели  типа 3АР1 DT </t>
    </r>
    <r>
      <rPr>
        <sz val="9"/>
        <rFont val="Times New Roman"/>
        <family val="1"/>
        <charset val="204"/>
      </rPr>
      <t xml:space="preserve">в открытом распределительном устройстве 110 кВ ПС 500 кВ Тайшет" </t>
    </r>
  </si>
  <si>
    <t xml:space="preserve">Работы по монтажу электрооборудования по объектам "Реконструкция целлюлозного производства. 1-я очередь строительства. Сушильный отдел хвойного потока. Упаковочное отделение хвойного потока" (проект "Большой Братск") </t>
  </si>
  <si>
    <t>Электромонтажные работы по объектам "Реконструкция ЦП. 1-я очередь строительства. Варочный отдел хвойного потока. Отдел промывки, сортировки и кислородной делигнификации хвойного потока. Отбельный отдел хвойного потока" (проект "Большой Братск")</t>
  </si>
  <si>
    <r>
      <t>Монтажные работы по прокладке кабеля и работы по испытанию и определению повреждений кабеля 6 кВ на РП 23 по объекту "Реконструкция целлюлозного производства. 1-я очередь строительства. Цех каустикации, регенерации извести и подачи химикатов. Отделение каустикации регенерации извести-2"</t>
    </r>
    <r>
      <rPr>
        <sz val="9"/>
        <color rgb="FFFF0000"/>
        <rFont val="Times New Roman"/>
        <family val="1"/>
        <charset val="204"/>
      </rPr>
      <t xml:space="preserve"> </t>
    </r>
    <r>
      <rPr>
        <sz val="9"/>
        <rFont val="Times New Roman"/>
        <family val="1"/>
        <charset val="204"/>
      </rPr>
      <t>(проект "Большой Братск")</t>
    </r>
  </si>
  <si>
    <t>12.2020</t>
  </si>
  <si>
    <r>
      <t xml:space="preserve">11.2019 </t>
    </r>
    <r>
      <rPr>
        <sz val="8"/>
        <rFont val="Times New Roman"/>
        <family val="1"/>
        <charset val="204"/>
      </rPr>
      <t/>
    </r>
  </si>
  <si>
    <t xml:space="preserve">ПС Падунская, 
г. Братск,  Иркутская  область
</t>
  </si>
  <si>
    <t xml:space="preserve">Заказчик: ОАО «ФСК ЕЭС» 
117630, г. Москва, ул. Академика                 Челомея, д.5А                                                                         
Филиал ОАО «ФСК ЕЭС»- МЭС Сибири
660099, г. Красноярск,                                     ул. Ады Лебедевой, 117, тел. (391) 265-95-00 
Генеральный директор Зильберман С.М. </t>
  </si>
  <si>
    <t xml:space="preserve">Заказчик: ОАО «ФСК ЕЭС» 
117630, г. Москва, ул. Академика                 Челомея, д.5А                                                                         
Филиал ОАО «ФСК ЕЭС»- МЭС Сибири
660099, г. Красноярск,                                     ул. Ады Лебедевой, 117, тел. (391) 265-95-00 
Генеральный директор Зильберман С.М.                                            
Генподрядчик: ЗАО «Электротехническая компания»                                                        614111, Пермский край, г. Пермь,                    ул.Солдатова, 29/2, тел. (342) 242-00-00 Генеральный директор Потанин В.А.    </t>
  </si>
  <si>
    <t>Заказчик: АО «Богучанская ГЭС»  
663491, г. Кодинск, стройбаза левого берега, зд. 1, объединённая база №1, а/я 132 
тел.(39143) 3-10-00, 7-13-96
Генеральный директор Демченко В.В.       Генподрядчик: ООО «КраМЗ-Авто»
660111, г. Красноярск, ул. Пограничников 37А
Директор  Крупицкий А.В.</t>
  </si>
  <si>
    <t>Заказчик: ОАО Сибирско-Уральская Алюминиевая Компания (ОАО "СУАЛ")
623406, Свердловская обл., г. Каменск-Уральский, ул.Заводская,10                                     Директор Соловьев В.А.
Филиал "ИркАЗ-СУАЛ" ОАО "СУАЛ"
666034, г. Шелехов ул. Индустриальная,4
тел. (39510) 9-42-13                                    Генеральный директор: Гринберг И.С.                           Генподрядчик: Востоксибэлектросетьстрой      670013, Республика Бурятия, г. Улан-Удэ,       ул. Ключевская, 144                                                       Директор Анфиногенов А.Ю.</t>
  </si>
  <si>
    <t>10.2020</t>
  </si>
  <si>
    <t xml:space="preserve">
031 от 18.03.2020</t>
  </si>
  <si>
    <t>343</t>
  </si>
  <si>
    <t xml:space="preserve">12-СЭС-2020-ОКС-м от 10.04.2020 </t>
  </si>
  <si>
    <t>05.2020</t>
  </si>
  <si>
    <t>Муниципальное предприятие «Братское троллейбусное управление» муниципального образования города Братска</t>
  </si>
  <si>
    <t>275Д-110П-3010 от 06.05.2020</t>
  </si>
  <si>
    <t>Работы по ремонту кабеля АСБл 1х800–2х1,5. Место повреждения – местный проезд в районе Троллейбусного депо. г. Братск, ул. Гагарина, 14</t>
  </si>
  <si>
    <t>Заказчик: ФГБОУ ВО «БрГУ»
665709, Иркутская обл., г. Братск, жилой район Энергетик, ул. Макаренко, 41                                       Ректор: Ситов И.С.</t>
  </si>
  <si>
    <t>Электромонтажные работы по прокладке силового кабеля на стадионе "Металлург"</t>
  </si>
  <si>
    <t>Заказчик: Муниципальное предприятие «Братское троллейбусное управление» муниципального образования города Братска (МП «БТУ»)
665732, Иркутская обл., г. Братск, ж.р. Центральный, ул. Гагарина, д. 14.
Директор Синицын В.М.</t>
  </si>
  <si>
    <t>41/20 от 30.04.2020</t>
  </si>
  <si>
    <t>06.2020</t>
  </si>
  <si>
    <t>Строительно-монтажные, пусконаладочные работы с поставкой оборудования по объекту: «Строительство ПС 500/220/35 кВ Озерная 2 пусковой комплекс» (дополнительные работы)</t>
  </si>
  <si>
    <t>313Д-110П-3010 от 25.05.2020</t>
  </si>
  <si>
    <t>07.2020</t>
  </si>
  <si>
    <t>27-СЭС-2020-ОКС-м от 06.07.2020</t>
  </si>
  <si>
    <t>11.2020</t>
  </si>
  <si>
    <t>26-СЭС-2020-ОКС-м от 06.07.2020 </t>
  </si>
  <si>
    <t xml:space="preserve">Строительно-монтажные и пусконаладочные работы по объекту: Модернизация ПС 220/110/10 кВ Опорная (замена выключателей 110 кВ с недостаточной отключающей способностью) </t>
  </si>
  <si>
    <t>БГК-20-172 от 13.07.2020</t>
  </si>
  <si>
    <t>08.2020</t>
  </si>
  <si>
    <t xml:space="preserve">Работы по демонтажу-монтажу ТН-220 кВ и пусконаладочные работы ТН-220 6 фаз на объекте «ПС Малая Елань» </t>
  </si>
  <si>
    <t>Учебная трансформаторная подстанция 35/10 кВ для нужд КУИЦ «Энергетика» - БрГУ
 г. Братск, Иркутская область</t>
  </si>
  <si>
    <t xml:space="preserve">МАУК ТКЦ Братск-АРТ,
г. Братск, Иркутская область </t>
  </si>
  <si>
    <t xml:space="preserve">Банно-прачечный комплекс Лотос,
г. Братск, Иркутская область
</t>
  </si>
  <si>
    <t>б/н от 23.07.2020</t>
  </si>
  <si>
    <t>ПС 35 кВ Спортивно-оздоровительный комплекс, Красноярский край</t>
  </si>
  <si>
    <t>Заказчик: МАУК "ТКЦ Братск-АРТ"
665729, РФ, Иркутская обл., г. Братск, ж/р Центральный, пр.Ленина, 28
тел.: (3953) 45-88-70,  (факс), 46-96-39     Директор Смолина С.А.</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</si>
  <si>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</si>
  <si>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Заказчик: ИП Пасечникова Л.М.
665772, Иркутская область, Братский р-он, г. Вихоревка, ул. Нефтяников, д. 31.</t>
  </si>
  <si>
    <t>Комплекс работ, необходимых для строительства объекта: «Модернизация ПС 500/220/10 кВ БПП (Замена реакторов 500кВ Р-1,2)»</t>
  </si>
  <si>
    <t>ЭМР по прокладке СИП и монтажу шкафа</t>
  </si>
  <si>
    <t>Строительно-монтажные и пусконаладочные работы по объекту: Модернизация ПС 220/110/10 кВ Опорная (замена ТН 110 кВ в количестве 3 шт.)</t>
  </si>
  <si>
    <t xml:space="preserve">Заказчик: Общество с ограниченной ответственностью «Байкальская горная компания» (ООО «БГК»)
674153, Забайкальский край, Каларский р-он, пос. Удокан, ул. Фабричная, дом 1.
Генеральный директор Миронов Г.С. </t>
  </si>
  <si>
    <t xml:space="preserve">Заказчик: ОАО «Иркутская электросетевая компания»
664033, г. Иркутск, ул. Лермонтова 257,
тел: (3952) 792-459, факс: (3952) 792-461
Генеральный директор Новиков Е.А. Подрядчик: ЗАО "ЗЭТО"                                   182113, Россия, Псковская область, г. Великие Луки, Проспект Октябрьский, 79
тел./факс 8(81153) 6-37-95/(81153) 6-38-45
Генеральный директор Мунштуков Д.В. </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</si>
  <si>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Западные электрические сети 
665253 г.Тулун, пер.Энергетиков 6 
Директор Коваленко Э.А.                                 
Генподрядчик:  ООО «ЕвроСибЭнерго-инжиниринг»
664050,г. Иркутск, ул. Байкальская, д. 259
тел.: (3952) 794-683, факс: (3952) 794-546
Генеральный директор Борисычев А.В.</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</si>
  <si>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Гл.инженер филиала Ефимов К.С.</t>
  </si>
  <si>
    <t xml:space="preserve">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Гл.инженер филиала Ефимов К.С. </t>
  </si>
  <si>
    <t xml:space="preserve"> 0128-КС-КС ПИР СМР-2019-СМГЭС от 15.08.2019    
1 от 06.02.2020                                                                                                                                                                                         </t>
  </si>
  <si>
    <t>Заказчик: ОАО «Иркутская электросетевая компания» 664033, г. Иркутск, ул. Лермонтова 257, тел: (3952) 792-459 факс: (3952) 792-461 
Генеральный директор  Новиков Е.А.
Филиал Западные электрические сети 
665253 г.Тулун, пер.Энергетиков 6 
Директор Коваленко Э.А.
Генподрядчик:  ООО «ЕвроСибЭнерго-инжиниринг»
664050,г. Иркутск, ул. Байкальская, д. 259
тел.: (3952) 794-683, факс: (3952) 794-546
Генеральный директор Борисычев А.В.</t>
  </si>
  <si>
    <t>КТП 10/0,4 кВ "Вахтовый комплекс", Забайкальский край, Каларский район, п. Новая Чара – п. Удокан</t>
  </si>
  <si>
    <t>13/ЗЭС-2020 от 31.01.2020</t>
  </si>
  <si>
    <t>01.2020</t>
  </si>
  <si>
    <t>09.2020</t>
  </si>
  <si>
    <t>13420</t>
  </si>
  <si>
    <t>ПС 500 кВ Тулун, 
г. Тулун, Иркутская область</t>
  </si>
  <si>
    <t xml:space="preserve">ПС 220/35/10 кВ Удоканский ГМК 
II этап, п. Новая Чара,  
Забайкальский край, Каларский район 
</t>
  </si>
  <si>
    <t xml:space="preserve">Заказчик: Общество с ограниченной ответственностью «Байкальская горная компания» (ООО «БГК»)
674153, Забайкальский край, Каларский р-он, пос. Удокан, ул. Фабричная, дом 1.
Генеральный директор Миронов Г.С.
</t>
  </si>
  <si>
    <t>БГК-20-69 от 08.04.2020</t>
  </si>
  <si>
    <t>Выполнение комплекса работ на условиях "под ключ" объекта строительства: "ПС 220/35/10 кВ "Удоканский ГМК", II этап"</t>
  </si>
  <si>
    <t>01.2021</t>
  </si>
  <si>
    <t xml:space="preserve">ПС 220 кВ Блуждающий,
п. Новая Чара – п. Удокан, Забайкальский край, Каларский район
</t>
  </si>
  <si>
    <t xml:space="preserve">БГК-20-68 от 08.04.2020 </t>
  </si>
  <si>
    <t>Выполнение комплекса работ по строительству объекта   на условиях "под ключ" (поставка, строительно-монтажные, пусконаладочные работы и сдача в эксплуатацию) объекта:
"ПС 220 кВ "Блуждающий"</t>
  </si>
  <si>
    <t>08.2021</t>
  </si>
  <si>
    <t>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Западные электрические сети 
665253 г.Тулун, пер.Энергетиков 6 
Директор Коваленко Э.А.</t>
  </si>
  <si>
    <t>Выполнение строительно-монтажных, пусконаладочных работ по объекту "Замена реактора Р-2-500 на ОРУ 500 кВ ПС Тулун для нужд филиала ОАО "ИЭСК" "Западные электрические сети"</t>
  </si>
  <si>
    <t xml:space="preserve">Заказчик: ООО ГРК Быстринское (входит в группу Норникель)
672000, Забайкальский край, г. Чита, ул. Лермонтова, д. 2                                           Генеральный директор Попов А.Н.
Подрядчик: ООО "Ренейссанс Хэви Индастрис"
194021 г.Санкт-Петербург 
ул.Шателена д,26 литер А, пом.93      Руководитель Каракайа А.                                               
</t>
  </si>
  <si>
    <t>Заказчик: АО «Витимэнерго» (ПАО Полюс)
666902, Иркутская область, г. Бодайбо, Подстанция, д. 4; тел.: 8 (39561) 56060 
Директор Машковский А.Р.
Генподрядчик: АО «Витимэнергострой»
664003, г Иркутск, ул. Ленина, 21
тел. 8(3952) 33-60-35
Генеральный директор Заиграев А.С.</t>
  </si>
  <si>
    <t>Заказчик: АО «Витимэнерго» (ПАО Полюс) 
666902, Российская Федерация Иркутская область, г. Бодайбо, Подстанция, д. 4;
тел.: 8 (39561) 56060 доб 44100 
Директор Машковский А.Р.
Генподрядчик: АО «Витимэнергострой»
664003, г Иркутск, ул. Ленина, 21
тел.89149266010, факс: 8(3952) 33-60-35
Генеральный директор Заиграев А.С.</t>
  </si>
  <si>
    <t>15КС-2020 от 31.07.2020</t>
  </si>
  <si>
    <t>36-СЭС-2020-ОКС-ц от 16.09.2020</t>
  </si>
  <si>
    <t>Строительно-монтажные, пусконаладочные работы по объекту "Модернизация ПС 110 кВ Северная", для нужд филиала ОАО «ИЭСК» Северные электрические сети</t>
  </si>
  <si>
    <t>04.2021</t>
  </si>
  <si>
    <t xml:space="preserve">Заказчик: ООО "Братский завод ферросплавов"
665716, Иркутская обл., г. Братск,                            П 01 11 01 00,тел: (3953) 49-59-01
Управляющий директор Прокопец В.Г. </t>
  </si>
  <si>
    <t>Заказчик: ООО "Братский завод ферросплавов"
 665716, Иркутская обл., г. Братск,                          П 01 11 01 00, тел: (3953) 49-59-01
Управляющий директор  Прокопец В.Г.</t>
  </si>
  <si>
    <t xml:space="preserve">Заказчик: ООО "Братский завод ферросплавов"
665716, Иркутская обл., г. Братск,                           П 01 11 01 00, тел: (3953) 49-59-01
Управляющий директор Прокопец В.Г. </t>
  </si>
  <si>
    <t>СМР и ПНР по замене масляных выключателей на элегазовые В-110 1ВС МСР-1 и МВ-110 2ВС МСР-1</t>
  </si>
  <si>
    <t>57-204.031/2020 от 05.08.2020</t>
  </si>
  <si>
    <t>Заказчик: ООО «ЕвроСибЭнерго-Гидрогенерация»
664003, г. Иркутск, ул. Тимирязева,4
Филиал ООО «ЕвроСибЭнерго-Гидрогенерация» "Братская ГЭС"                           665709, г. Братск, а/я 783
тел. (3953) 323 359
Директор филиала Боярский А.В.</t>
  </si>
  <si>
    <t xml:space="preserve">003/02/2021 от 27.11.2020 </t>
  </si>
  <si>
    <t>Замена Рабочего колеса ГА-3 Братской ГЭС - вывозка рабочего колеса с МП-1 на центральный склад Братской ГЭС</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</si>
  <si>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Северные электрические сети
665709, Иркутская область, г. Братск, а/я 786 
тел. (3953) 33-17-27, 
Директор филиала Ковалев П.В.</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</si>
  <si>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Центральные электрические сети
665709, Иркутская область, Ангарск, 2-я улица Хмельницкого, 22, тел. 8(3955)502740
Директор филиала  Щёкин А.И.</t>
  </si>
  <si>
    <t>ПС 110/35/10 кВ Зеленый берег, 
Иркутская область</t>
  </si>
  <si>
    <t>1-ЮЭС-2020 (ЗБ-АН) 
от 17.06.2020</t>
  </si>
  <si>
    <t xml:space="preserve">Осуществление авторского надзора за строительством объекта "ПС 110/35/10 кВ Зеленый берег" </t>
  </si>
  <si>
    <t>ПС 110/35/10 кВ Цесовская, 
г. Иркутск</t>
  </si>
  <si>
    <t>12.2021</t>
  </si>
  <si>
    <t>Осуществление авторского надзора за строительством объекта: "ПС 110 кВ Цесовская с КЛ-110 кВ"</t>
  </si>
  <si>
    <t>1-ЮЭС-2021 (ПС Марково-АН) 
от 08.04.2021</t>
  </si>
  <si>
    <t xml:space="preserve">Осуществление авторского надзора за строительством объекта «Перевод РП-10 кВ Марково в ПС 35 кВ Марково (Т-1 Т-2 по 16 МВА, ОРУ-35 кВ, КРУН)» по титулу «Строительство ПС 35 кВ Марково с установкой двух трансформаторов 16 МВА каждый (прирост мощности 32 МВА)» </t>
  </si>
  <si>
    <t>ПК739-20 от 23.09.2020</t>
  </si>
  <si>
    <t>Заказчик: ПАО "Полюс"                            123056, г. Москва, ул. Красина, д. 3, стр.1       тел: (495) 641-33-77 в лице                                  АО "Полюс Красноярск"                                  660061, г.Красноярск, ул. Цимлянская, 37        тел: (391) 290 61 03                                                Директор по управлению проектами и строительству Зырянов Д.А.</t>
  </si>
  <si>
    <t xml:space="preserve">ЕП-118/20 от 30.07.2020 </t>
  </si>
  <si>
    <t>Выполнение землеустроительных, проектных и изыскательских работ по объекту "Строительство ЛЭП-6 кВ от ПС 35/6 кВ "Боково"</t>
  </si>
  <si>
    <t>33 от 30.10.2020</t>
  </si>
  <si>
    <t>Замена новым кабелем 35 кВ и пусконаладочные испытания линии электропередачи 35 кВ на объекте "Спортивно-оздоровительный комплекс"</t>
  </si>
  <si>
    <t>10. 2020</t>
  </si>
  <si>
    <t>32 от 01.10.2020</t>
  </si>
  <si>
    <t xml:space="preserve">Работы по монтажу, испытаниям и пусконаладке системы временного электроснабжения напряжением 10 кВ площадки строительства Спортивно-оздоровительного комплекса </t>
  </si>
  <si>
    <t>31 от 03.11.2020</t>
  </si>
  <si>
    <t>Аварийно-восстановительные работы по монтажу двух соединительных муфт 35 кВ, восстановление наружной оболочки кабеля ПвКасП2г35 кВ ремонтными комплектами с восстановлением слоев наружной оболочки и брони кабеля на участке №3 территории объекта</t>
  </si>
  <si>
    <t>34 от 27.01.2021</t>
  </si>
  <si>
    <t>Пусконаладочные работы оборудования в зданиях объекта "Спортивно-оздоровительный комплекс"</t>
  </si>
  <si>
    <t>01. 2021</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</si>
  <si>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Западные электрические сети 
665253 г.Тулун, пер.Энергетиков 6 
Директор филиала Щекин А.И.</t>
  </si>
  <si>
    <t>128/ЗЭС от 23.04.2021</t>
  </si>
  <si>
    <t xml:space="preserve">Оказание услуг по техническому обслуживанию устройств РЗА присоединений 500 кВ на ПС Озерная и присоединений 110 кВ ПС Тайшет </t>
  </si>
  <si>
    <t>ПС 500/220/35 кВ Озерная,
Иркутская область</t>
  </si>
  <si>
    <t>134/ЗЭС от 12.05.2021</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</si>
  <si>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Западные электрические сети 
665253 г.Тулун, пер.Энергетиков 6 
И.о. директора филиала Аверьянов С.А.</t>
  </si>
  <si>
    <t xml:space="preserve">Оказание услуг по техническому обслуживанию устройств РЗА присоединений 220 кВ на ПС Озерная </t>
  </si>
  <si>
    <t>05.2021</t>
  </si>
  <si>
    <t>010-242-21/БФ-6/19 от 08.04.2021</t>
  </si>
  <si>
    <t>Заказчик: АО "Группа "Илим"
191025, г. Санкт-Петербург, ул. Марата,17,
Филиал АО "Группа "Илим" в г. Братске, 665718, Иркутская обл., г. Братск
тел: (3953) 340649                                                    Директор филиала Ванчуков А.И.</t>
  </si>
  <si>
    <t>СМР и ПНР по замене токоограничвающего реактора Р-2в ГРУ ТЭС-2 ПриЭ филиала АО "Группа "Илим" в г.Братске</t>
  </si>
  <si>
    <t>010-696-21/БФ-6/19 от 01.06.2021</t>
  </si>
  <si>
    <t>ЭМР и ПНР для реализации инвестиционного проекта: "Модернизация системы очистки дымовых газов ИРП №4, ИРП №5, ИРП №6" филиала АО "Группа "Илим" в г.Братске</t>
  </si>
  <si>
    <t>06.2021</t>
  </si>
  <si>
    <t>010-816-21/БФ-6/19 от 21.06.2021</t>
  </si>
  <si>
    <t>Отключение и подключение шин после ремонта на турбогенераторе на КТЦ ПриЭ; ПНР после проведения ремонта на турбогенераторе КТЦ и ПриЭ филиала АО "Группа "Илим" в г.Братске</t>
  </si>
  <si>
    <t>СМР и ПНР на объекте: «Техническое перевооружение ОПО «Площадка обогащения сырья. Главный корпус-2 ЗИФ-3. Замена мельницы М-25»</t>
  </si>
  <si>
    <t>2-ЮЭС-2020 (ПС Цесовская-АН) 
от 15.01.2021</t>
  </si>
  <si>
    <t>03.2021</t>
  </si>
  <si>
    <t>09.2021</t>
  </si>
  <si>
    <t>09.2022</t>
  </si>
  <si>
    <t>02.2021</t>
  </si>
  <si>
    <t>Заказчик: АО «Братская электросетевая компания»
РФ, 65710,Иркутская область,  г. Братск, ул.Дружбы,45, тел. (3953) 41-51-31,            тел/факс (3953) 41-59-12
Генеральный директор Кабаев С.И.</t>
  </si>
  <si>
    <t>ПС 110 кВ Нежданинская, Республика Саха (Якутия)</t>
  </si>
  <si>
    <t>СМР и ПНР на объекте ПС 110 кВ Нежданинская по титулу "Строительство ВЛ 110 кВ Хандыга-Нежданинская с ПС 110 кВ Нежданинская"</t>
  </si>
  <si>
    <t>ЮВЭС/10-01 от 09.10.2020</t>
  </si>
  <si>
    <t>Заказчик: АО «Полиметалл» Холдинговая компания группы в России
198216, г. Санкт-Петербург,                     Проспект Народного Ополчения, 2
тел. +7-812-334-36-66 в лице                       ООО "Южно-верхоянские энергосети" (ООО ЮВЭС)                                                    677027, Республика Саха (Якутия), г. Якутск ул. Октябрьская, 26 Б  тел. (4112) 31-90-40
Генеральный директор: Селютин Д.Э.</t>
  </si>
  <si>
    <t>Строительно-монтажные работы КТП 10/0,4 кВ "Вахтовый комплекс"</t>
  </si>
  <si>
    <t>Спортивно-оздоровительный комплекс ЗАО "Ванкорнефть", Красноярский край</t>
  </si>
  <si>
    <t xml:space="preserve">Заказчик: ООО «РН-Ванкор»                      660077, Красноярский край, г. Красноярск, ул. 78 Добровольческой бригады, д.15        тел: +7 (391) 274-56-99, +7 (391) 263-82-05                      Генеральный директор Чернов В.Н.                 Генеральный подрядчик: ENKA INSAAT VE SANAYI ANONIM SIRKETI (ЭНКА ИНШААТ ВЕ САНАЙИ АНОНИМ ШИРКЕТИ)
Юридический адрес: Балмумджу Махаллеси, Зинджирликуйу Йолу, д.10, Бешикташ, г. Стамбул, Турция, 34349
Директор проекта: Илджи Мюмтаз Окан </t>
  </si>
  <si>
    <t xml:space="preserve">Заказчик: ООО «РН-Ванкор»                      660077, Красноярский край, г. Красноярск, ул. 78 Добровольческой бригады, д.15        тел: +7 (391) 274-56-99, +7 (391) 263-82-05                      Генеральный директор Чернов В.Н.           Генеральный подрядчик: ENKA INSAAT VE SANAYI ANONIM SIRKETI (ЭНКА ИНШААТ ВЕ САНАЙИ АНОНИМ ШИРКЕТИ)
Юридический адрес: Балмумджу Махаллеси, Зинджирликуйу Йолу, д.10, Бешикташ, г. Стамбул, Турция, 34349
Директор проекта: Илджи Мюмтаз Окан </t>
  </si>
  <si>
    <t>Строительно-монтажные, пусконаладочные работы по замене воздушного выключателя ВВБ-500 на элегазовый</t>
  </si>
  <si>
    <t>ТП 110/27,5 кВ Невельская, ТП 110/27,5 кВ Коршуниха, Иркутская область</t>
  </si>
  <si>
    <t>Заказчик: ОАО «РЖД»
107174, Москва, Новая Басманная ул., д. 2
Генеральный директор – председатель правления ОАО "РЖД" Белозёров О.В. Подрядчик: ООО РТМ "Трансформатор"    664043, Иркутская обл., г. Иркутск, ул. Сергеева, д.3                                                Генеральный директор Сковитин А.В.</t>
  </si>
  <si>
    <t>25465/ТР-ГЭМ от 20.07.2020</t>
  </si>
  <si>
    <t>Выполнение пусконаладочных работ «под нагрузкой» на объектах: «Техническое перевооружение ТП Коршуниха с заменой тягового трансформатора с 20 МВА на 40 МВА и установкой УПК», «Техническое перевооружение ТП Невельская с заменой тягового трансформатора с 25 МВА на 40 МВА – 1шт. и установкой УПК Восточно-Сибирской ж.д.».</t>
  </si>
  <si>
    <t>ПС 110/35/10 кВ Баяндай, с. Баяндай, Иркутская область</t>
  </si>
  <si>
    <t>Заказчик: ОАО «Иркутская электросетевая компания»
664033, г. Иркутск, ул. Лермонтова 257,
тел: (3952) 792-459,  факс: (3952) 792-461
Генеральный директор  Каратаев Б.Н.
Филиал ОАО «Иркутская электросетевая компания» Восточные электрические сети
Директор филиала Садохин А.И.                 664047, Иркутская область, г. Иркутск, ул. Депутатская, д.38
тел./факс.: 8(395-2)794-859, 8(395-2) 794-811    Подрядчик: ООО "Иркутскэлектро"                 664025 г.Иркутск, ул.Свердлова, д.10, оф.8
тел/факс 8 (395 2) 676-579/486-956        Директор Тамилов О.Н.</t>
  </si>
  <si>
    <t>51-ИЭ/ГЭМ-2020 от 12.08.2020</t>
  </si>
  <si>
    <t>Строительно-монтажные  работы по модернизации ПС 110/35/10 кВ Баяндай (замена ВМТ 110 кВ на элегазовые выключатели ЭВ 110 кВ- 2 шт.)</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</si>
  <si>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Южные электрические сети
664056, г. Иркутск, ул. Безбокова, 38
тел./факс.: (3952) 793-203
Директор филиала Прошутинский А.Л.</t>
  </si>
  <si>
    <t>3-ЮЭС-2020 (ВЛПК) от 24.11.2020</t>
  </si>
  <si>
    <t>Разработка проектной документации по титулу: «Реконструкция ВЛ 110 кВ Правобережная-Кировская А.Б.»</t>
  </si>
  <si>
    <t>115 от 24.07.2020</t>
  </si>
  <si>
    <t xml:space="preserve">Разработка рабочего проекта по временному электроснабжению площадки строительства спортивно-оздоровительного комплекса </t>
  </si>
  <si>
    <t xml:space="preserve">Заказчик: ООО «ЕвроСибЭнерго-Гидрогенерация»
664003, г. Иркутск, ул. Тимирязева,4
Филиал ООО «ЕвроСибЭнерго-Гидрогенерация» "Братская ГЭС"                           665709, г. Братск, а/я 783
тел. (3953) 323 359
Директор филиала Боярский А.В.  Генеральный подрядчик: ООО «НетВорк Логистик»                                                          142034, Московская обл.,
Г. Домодедово, территория 
Колычевское-Жеребятьево стр. 1      Генеральный директор: Бекоев В.И.
</t>
  </si>
  <si>
    <t>152-НЛ-21                         от 09.03.21</t>
  </si>
  <si>
    <t xml:space="preserve">Комплекс услуг по транспортировке рабочего колеса турбины для Братской ГЭС из аэропорта г. Братск до Братской ГЭС, включающий в себя: 
- погрузку в аэропорту г. Братск рабочего колеса весом ~ 80 тн на трейлер;
- крепление рабочего колеса на трейлере (согласно проекта производства работ);
- перевозку рабочего колеса из аэропорта г. Братска до монтажной площадки Братской ГЭС на трейлере;
- перевозку комплектующих рабочего колеса автомобильным транспортом;
-организацию сопровождения, в том числе со стороны ГИБДД.
</t>
  </si>
  <si>
    <t>08.2022</t>
  </si>
  <si>
    <t>Братская ГЭС,                                              г. Братск, Иркутская область</t>
  </si>
  <si>
    <t xml:space="preserve">Заказчик: ООО «ЕвроСибЭнерго-Гидрогенерация»
664003, г. Иркутск, ул. Тимирязева,4
Филиал ООО «ЕвроСибЭнерго-Гидрогенерация» "Братская ГЭС"                           665709, г. Братск, а/я 784
тел. (3953) 323 359
Директор филиала Стрелков Е.В. 
</t>
  </si>
  <si>
    <t>3/22-Р от 19.04.2022</t>
  </si>
  <si>
    <t>Перекатка трансформаторов типа ТЦ-300000/220/15 из яч.10Т в яч.14Т, зав.№ 140422 "14Т", зав. № 134344 "10Т" на МП-1</t>
  </si>
  <si>
    <t>04.2022</t>
  </si>
  <si>
    <t>05.2022</t>
  </si>
  <si>
    <t>006/02/2022 от 04.05.2022</t>
  </si>
  <si>
    <t>Замена рабочего колеса ГА №4  Братской ГЭС. Вывозка рабочего колеса МП-1 на центральный склад Братской ГЭС.</t>
  </si>
  <si>
    <t>12.2022</t>
  </si>
  <si>
    <t>9КС-2021 от 12.10.2021</t>
  </si>
  <si>
    <t>10.2021</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</si>
  <si>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Южные электрические сети
664056, г. Иркутск, ул. Безбокова,38 
тел./факс: (3952) 793-203 
Директор филиала Прошутинский А.Л.</t>
  </si>
  <si>
    <t>1-ЮЭС-2020 (ПС Цесовская) от 15.09.2020</t>
  </si>
  <si>
    <t>Строительно-монтажные, пусконаладочные работы, поставка оборудования и ввод в эксплуатацию объекта: "ПС 110 кВ Цесовская с КЛ-110 кВ"</t>
  </si>
  <si>
    <t>3-ЮЭС-2021(ПС Цесовская-хранение) от 19.05.2021</t>
  </si>
  <si>
    <t xml:space="preserve">06.2021 
</t>
  </si>
  <si>
    <t>21.06-114-У(МР-2) от 04.06.2021 доп.согл 1-3</t>
  </si>
  <si>
    <t>19/21 от 17.06.2021
Дополнение № 19/21-4390 от 18.06.2021</t>
  </si>
  <si>
    <t>46/07-2021 от 09.07.2021 доп.согл 1</t>
  </si>
  <si>
    <t>Комплекс работ по строительству линейной ячейки 110 кВ Полюс для подключения ВЛ 110 кВ Полюс -Высочайший</t>
  </si>
  <si>
    <t>07.2021</t>
  </si>
  <si>
    <t>11.2021</t>
  </si>
  <si>
    <t>45/07-2021 от 09.07.2021
доп. согл бн;
 доп.согл 1</t>
  </si>
  <si>
    <t xml:space="preserve"> 017/04-ВЭС-2021 от 14.07.2021</t>
  </si>
  <si>
    <t>35 от 15.07.2021</t>
  </si>
  <si>
    <t>Выполнение комплекса работ по объекту: "Реконструкция ПС 35/6 кВ "Строительная" и строительство двухцепной ВЛ-35кВ в городе Усть-Илимске"</t>
  </si>
  <si>
    <t>21.07-153-СП(КР)
от 19.07.2021</t>
  </si>
  <si>
    <t>ЮВГК 2(01-1-0768) от 02.08.2021</t>
  </si>
  <si>
    <t>Выполнение электромонтажных работ с проведением замеров на объектах АО "ЮВГК" участок "Нежданинский" - Главный корпус обогатительной фабрики; Рудоподготовительный комплекс; Склад химических реагентов; Склад ГСМ; Склад концентратов.</t>
  </si>
  <si>
    <t xml:space="preserve"> 521Д-111П-3012 от 04.08.2021 доп.согл 1</t>
  </si>
  <si>
    <t>Работы по реконструкции навеса здания, расположенного по адресу: Иркутская область, г. Братск, ул. Коммунальная 9А.</t>
  </si>
  <si>
    <t>Выполнение ЭМР по электротехнической части, КИПиА и АСУТП, пожарной автоматике по проекту: "Строительство ЦКК в г. Усть-Илимске"</t>
  </si>
  <si>
    <t>УМ-21-429 от 10.08.2021</t>
  </si>
  <si>
    <t xml:space="preserve"> ПС 220 кВ "Блуждающий". Вертикальная планировка площадки. Благоустройство</t>
  </si>
  <si>
    <t>58/09-2021 от 20.09.2021</t>
  </si>
  <si>
    <t>209/ЗЭС от 03.09.2021 доп.согл 1-2</t>
  </si>
  <si>
    <t>010-1081-21 от 06.10.2021</t>
  </si>
  <si>
    <t xml:space="preserve">ЮВЭС/10-02 
от 21.10.2021 
</t>
  </si>
  <si>
    <t>Проведение повторных испытаний и измерений трансформаторного оборудования ПС 110 кВ "Нежданинская" с выполнением анализов трансформаторного масла</t>
  </si>
  <si>
    <t>711Д-70П-3010 от 21.10.2021</t>
  </si>
  <si>
    <t>195С/21 от 21.10.2021</t>
  </si>
  <si>
    <t>СМР по созданию системы сейсмического контроля ГТС Братской ГЭС</t>
  </si>
  <si>
    <t>03.2022</t>
  </si>
  <si>
    <t>Комплекс работ по строительству объекта :
"ПС 220 кВ Витим с ЛЭП 220 кВ Сухой Лог – Витим №1, №2 (1 этап)".</t>
  </si>
  <si>
    <t>УМ-21-617 от 10.11.2021</t>
  </si>
  <si>
    <t>01.2022</t>
  </si>
  <si>
    <t>ОК-201/21 
от 12.11.2021</t>
  </si>
  <si>
    <t xml:space="preserve"> 010-1352-21 от 17.11.2021</t>
  </si>
  <si>
    <t>Выполнение электромонтажных и пусконаладочных работ по капитальному ремонту силового трансформатора ТДН-16000 КВА 110/6 кВ УЭС филиала АО "Группа "Илим" в г. Братске</t>
  </si>
  <si>
    <t>2-ЮЭС-2021(РКК-Ц) от 22.11.2021</t>
  </si>
  <si>
    <t>Корректировка рабочей документации по титулу: «К_Ю34 Строительство ПС 110 кВ Цесовская (с установкой двух трансформаторов 40 МВА каждый), (прирост мощности 80 МВА)»</t>
  </si>
  <si>
    <t xml:space="preserve">11.2021 
</t>
  </si>
  <si>
    <t>УМ-21-678 от 02.12.2021</t>
  </si>
  <si>
    <t>010-1497-21/БФ-6/19 от 24.12.2021</t>
  </si>
  <si>
    <t>Монтажные и пусконаладочные работы по ретрофиту РЗиА и силовой части секционных и вводных ячеек КРУ РП-3 филиала АО "Группа "Илим" в г. Братске</t>
  </si>
  <si>
    <t xml:space="preserve">Строительно-монтажные работы по титулу "Строительство ПС 110 кВ Цесовская (с установкой двух трансформаторов 40 МВА каждый), (прирост мощности 80 МВА)" Организация долгосрочного хранения трансформатора </t>
  </si>
  <si>
    <t xml:space="preserve">ПС 110 кВ Цесовская,                                г. Иркутск
</t>
  </si>
  <si>
    <t xml:space="preserve">06.2022
</t>
  </si>
  <si>
    <t xml:space="preserve">Монтажные, такелажные, пусконаладочные работы по реконструкции объекта ПС 220 кВ "Междуреченская"  </t>
  </si>
  <si>
    <t xml:space="preserve">ПС 220 кВ Междуреченская,
г. Междуреченск, Кемеровская область 
</t>
  </si>
  <si>
    <t xml:space="preserve">Заказчик:  ПАО "ФСК ЕЭС"- МЭС Сибири
Генподрядчик: ООО «ДИАПАЗОН» 
115114, г. Москва, 
ул. Летниковская, д. 10, 
строение 4, помещение I, ком.143-152, эт.5               Директор Бусыгин М.В.
</t>
  </si>
  <si>
    <t xml:space="preserve">ПС 220 кВ Полимер,
Усть-Кутский район, Иркутская область  </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</si>
  <si>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Южные электрические сети
664056, г. Иркутск, ул. Безбокова, 38
Тел./факс.: (3952) 793-203
Директор филиала ЮЭС Прошутинский А.Л.</t>
  </si>
  <si>
    <t>Заказчик: ООО "Иркутская нефтяная компания"
664007, г. Иркутск, пр-т Большой     Литейный, 4                                                                             Начальник правового управления Мельник С.В.</t>
  </si>
  <si>
    <t>Заказчик: АО "Витимэнерго" 
666902, Российская Федерация Иркутская область, г. Бодайбо, Подстанция, д. 4;
Тел.: 8 (39561) 56060 доб 44100 
Генподрядчик: АО "Витимэнергострой"
664003, г Иркутск, ул. Ленина, 21
Тел/факс: 8(3952) 33-60-35
Генеральный директор Заиграев А.С.</t>
  </si>
  <si>
    <t>Линейная  ячейка в ОРУ РП 110 кВ Полюс для подключения ВЛ 110 кВ Полюс-Высочайший,  
п. Кропоткин, Бодайбинский район, Иркутская область</t>
  </si>
  <si>
    <t>Линейная ячейка 110 кВ в ОРУ ПС 110 кВ Артёмовская для подключения ВЛ 110 кВ Артемовская-Красный,
п. Кропоткин, Бодайбинский район, Иркутская область</t>
  </si>
  <si>
    <t>Заказчик: АО "Витимэнерго" 
666902, Российская Федерация Иркутская область, г. Бодайбо, Подстанция, д. 4;
Те.: 8 (39561) 56060 доб 44100 
Генподрядчик: АО "Витимэнергострой"
664003, г Иркутск, ул. Ленина, 21
Тел.89149266010 Тел/факс: 8(3952) 33-60-35
Генеральный директор Заиграев А.С.</t>
  </si>
  <si>
    <t>Комплекс работ по строительству линейной ячейки 110 кВ в ОРУ ПС 110 кВ Артёмовская для подключения ВЛ 110 кВ Артемовская-Красный</t>
  </si>
  <si>
    <t xml:space="preserve">ПС 35/10 кВ Светлячки,
Иркутская область
</t>
  </si>
  <si>
    <t xml:space="preserve">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Восточные электрические сети
664047, Иркутская область, г. Иркутск, ул. Депутатская, д.38
Тел./факс.: 8(395-2)794-859, 8(395-2) 794-811 Директор филиала Садохин А.И.                 </t>
  </si>
  <si>
    <t xml:space="preserve">12.2022
</t>
  </si>
  <si>
    <t>Оказание услуг по осуществлению авторского надзора за строительством объекта ВЛ 35 кВ Пивовариха – Худяково инв. № 6000916700 "Строительство объекта ПС 35/10 кВ Светлячки с ВЛ 10 кВ"</t>
  </si>
  <si>
    <t>Ремонт и пусконаладка волоконно-оптического кабеля с применением соединительной муфты на территории объекта  (Спортивно-оздоровительный комплекс).</t>
  </si>
  <si>
    <t>ПС 35/6 кВ Строительная,
г.Усть-Илимск, Иркутская область</t>
  </si>
  <si>
    <t>Заказчик: АО "Братская электросетевая компания"
РФ, 65710,Иркутская область,  г. Братск, ул.Дружбы,45 
Генеральный директор Кабаев С.И.</t>
  </si>
  <si>
    <t xml:space="preserve">12.2023
</t>
  </si>
  <si>
    <t xml:space="preserve">Заказчик:  ПАО "ФСК ЕЭС"-МЭС Сибири
Генподрядчик: ООО «ДИАПАЗОН» 
115114, г. Москва, 
ул. Летниковская, д. 10, 
строение 4, помещение I, ком.143-152, эт.5
Директор Бусыгин М.В.
</t>
  </si>
  <si>
    <t>Монтажные и пусконаладочные работы
на объекте ПС 500 кВ "Красноярская"</t>
  </si>
  <si>
    <t>ПС 500 кВ Красноярская,
г. Красноярск</t>
  </si>
  <si>
    <t xml:space="preserve">03.2022
</t>
  </si>
  <si>
    <t>Заказчик: Акционерное общество «Южно-Верхоянская Горнодобывающая Компания» (АО «ЮВГК») 
677000, Республика Саха (Якутия), г. Якутск, ул. Дзержинского, д.23                                              Управляющий директор Симон А.В.</t>
  </si>
  <si>
    <t xml:space="preserve">12.2021
</t>
  </si>
  <si>
    <t xml:space="preserve">Участок "Нежданинский", 
Республика Саха (Якутия), Томпонский район </t>
  </si>
  <si>
    <t>Реконструкция навеса здания,                     г. Братск, Иркутская область</t>
  </si>
  <si>
    <t>Заказчик: ООО "Море пива"                    665717, Иркутская область, г. Братск, ул. Коммунальная, д. 9А                                  Руководитель филиала Кирясов А.А.</t>
  </si>
  <si>
    <t xml:space="preserve">Группа Илим филиал в г. Усть-Илимске,
г. Усть-Илимск, Иркутская область </t>
  </si>
  <si>
    <t xml:space="preserve">ПС 220 кВ Блуждающий,
Забайкальский край, Каларский район,
п. Новая Чара </t>
  </si>
  <si>
    <t>Заказчик: АО "Группа "Илим"
191025, г. Санкт-Петербург, ул. Марата,17,
Филиал АО "Группа "Илим" в г. Усть-Илимске, 666684, РФ, Иркутская обл., г. Усть-Илимск, промышленная площадка ЛПК
Тел. (39535)93194                                Директор по закупкам Стороженко С.А.</t>
  </si>
  <si>
    <t>Заказчик: Общество с ограниченной ответственностью "Удоканская медь"
674153, Забайкальский край, Каларский р-он, пос. Удокан, ул. Фабричная, дом 1. Зам.генерального директора Назаров М.Е.</t>
  </si>
  <si>
    <t>Заказчик: АО "Витимэнерго" 
666902, Российская Федерация Иркутская область, г. Бодайбо, Подстанция, д. 4;
Те.: 8 (39561) 56060 доб 44100 
Генподрядчик АО "Витимэнергострой"
664003, г Иркутск, ул. Ленина, 21
Тел.89149266010 Тел/факс: 8(3952) 33-60-35
Генеральный директор Заиграев А.С.</t>
  </si>
  <si>
    <t>Комплекс работ по строительству ВЛ 110 кВ Кропоткинская - Вернинская № 2 с отпайкой на РП Полюс и реконструкции ПС 110 кВ Вернинская в части устройства площадки под модульную мобильную подстанцию: 2 и 3 этап, электромонтажные и пусконаладочные работы</t>
  </si>
  <si>
    <t>ПС 110/35/10 кВ Куйтун,
п. Куйтун, Иркутская область</t>
  </si>
  <si>
    <t xml:space="preserve">Заказчик: ОАО "Иркутская электросетевая компания"
664033, г. Иркутск, ул. Лермонтова 257,    Тел: (3952) 792-459 Факс: (3952) 792-461
Генеральный директор Новиков Е.А.
Филиал Западные электрические сети 
665253 г. Тулун, пер. Энергетиков 6 Директор филиала Щекин А.И.  
</t>
  </si>
  <si>
    <t>Выполнение строительно-монтажных, пусконаладочных работ, поставка оборудования по объекту: "Модернизация ПС 110/35/10 кВ Куйтун с заменой силового трансформатора Т-1"</t>
  </si>
  <si>
    <t>Заказчик: АО "Группа "Илим"
191025, г. Санкт-Петербург, ул. Марата,17,
Филиал АО "Группа "Илим" в г. Братске, 665718, РФ, Иркутская обл., г. Братск
Тел: (3953) 340649                                        Директор филиала Ванчуков А.И.</t>
  </si>
  <si>
    <t>ПНР по проверке автоматических выключателей комплектных трансформаторных подстанций на производствах ВОЦ, СЦ ПХЦ</t>
  </si>
  <si>
    <t>Усть-Илимская ГЭС, 
г. Усть-Илимск, Иркутская область</t>
  </si>
  <si>
    <t xml:space="preserve">Заказчик: ООО "ЕвроСибЭнерго-Гидрогенерация"
Юридический и почтовый адрес: 664011 РФ,            г. Иркутск, Сухэ-Батора ул., д. 4 ком.132Б 
Почтовый адрес филиала  ООО "ЕвроСибЭнерго-Гидрогенерация" Усть-Илимская ГЭС: 666683 г. Усть-Илимск, Иркутской области, а/я 958                        Директор Кузнецов С.В.
</t>
  </si>
  <si>
    <t>Строительно-монтажные работы по объекту:  Усть-Илимская ГЭС "ОРУ 220-500 кВ. УИГ_00040406. Техническое перевооружение. Замена защит шин и устройств резервирования отказов выключателей (УРОВ) присоединений 220 кВ"</t>
  </si>
  <si>
    <t xml:space="preserve">ПС 110 кВ Нежданинская, 
Республика Саха (Якутия) 
</t>
  </si>
  <si>
    <t>Заказчик: Общество с ограниченной ответственностью "Южно-Верхоянские энергосети" 
677027, Республика Саха (Якутия), г. Якутск, ул. Октябрьская, 26 Б 
Генеральный директор Селютин Д.Э.</t>
  </si>
  <si>
    <t>ПС 500 кВ Озерная,
 г. Тайшет,  Иркутская область</t>
  </si>
  <si>
    <t xml:space="preserve">Заказчик: ООО «АрсеналСтрой» 
630017, РФ, Новосибирская область, г.Новосибирск, ул.Тополевая, д. 26, кв. 3
Почтовый адрес: 665712, Иркутская область, г.Братск-12, а/я 330                         Генеральный директор Урбатис М.В.
</t>
  </si>
  <si>
    <t xml:space="preserve">СМР по объекту: "Замена высоковольтного ввода 500 кВ фазы "С" АТ-3 ПС "Озёрная" </t>
  </si>
  <si>
    <t>Братская ГЭС,
г. Братск, Иркутская область</t>
  </si>
  <si>
    <t xml:space="preserve">Заказчик: ООО "ЕвроСибЭнерго-Гидрогенерация"
664011 РФ, г. Иркутск, Сухэ-Батора ул., д. 4 ком.132Б 
Почтовый адрес филиала  ООО "ЕвроСибЭнерго-Гидрогенерация" Братская ГЭС: 665709 г. Братск, Иркутской области, а/я 784 
Генподрядчик: АО "ВНИИГ им. Б.Е. Веденеева"
195220, Санкт-Петербург, ул. Гжатская д.21
Почтовый адрес: 195220, Санкт-Петербург, ул. Гжатская д.21
Генеральный директор Орищук Р.Н. 
</t>
  </si>
  <si>
    <t>ПС 220 кВ Витим 
п. Кропоткин, Бодайбинский район, Иркутская область</t>
  </si>
  <si>
    <t xml:space="preserve">Заказчик: ООО "Полюс Сухой Лог" 
666904, Иркутская обл., м. р-н Бодайбинский, г.п. Бодайбинское, г. Бодайбо, ул. Мира зд.4, помещ. 205                                                                  Старший вице-президент по операционной деятельности Полин В.А.
</t>
  </si>
  <si>
    <t>03.2023</t>
  </si>
  <si>
    <t>ПС 220 кВ Удоканский ГМК и ПС 220 кВ Чара.
Забайкальский край, Каларский район,
п. Новая Чара – п. Удокан</t>
  </si>
  <si>
    <t>Комплекс работ по модернизации, доукомплектации, монтажу и пусконаладке противоаварийной автоматики  (шкафа ПА. ПС220/ОПУ-инв.№ ER-000982) на  ПС 220 кВ Удоканский ГМК и ПС 220 кВ Чара</t>
  </si>
  <si>
    <t>Выполнение строительно-монтажных и пусконаладочных работ по объекту "Строительство ВЛ-35 кВ, ПС 35/10 кВ в п.Янталь, Усть-Кутского района"</t>
  </si>
  <si>
    <t xml:space="preserve">ПС 35/10 кВ в п.Янталь,                              Усть-Кутский район, Иркутская область  
</t>
  </si>
  <si>
    <t xml:space="preserve">12.2022 
</t>
  </si>
  <si>
    <t>Заказчик: АО "Группа "Илим"
191025, г. Санкт-Петербург, ул. Марата,17,
Филиал АО "Группа "Илим" в г. Братске, 665718, РФ, Иркутская обл., г. Братск
Тел: (3953) 340649                                 Директор филиала Ванчуков А.И.</t>
  </si>
  <si>
    <t xml:space="preserve">04.2022
</t>
  </si>
  <si>
    <t>Разработка основных технических решений, актуализация инженерных изысканий, проектной и рабочей документации, работы по сопровождению государственной экспертизы проектной документации и инженерных изысканий, проверки достоверности определения сметной стоимости объекта капитального строительства, землеустроительные работы по объектам: «Строительство ПС 110/6 кВ Железный Кряж» и «Строительство ВЛ 110 кВ (отпайка от ВЛ-110-25 Приаргунская ТЭЦ-Михайловка (I-цепь))»</t>
  </si>
  <si>
    <t xml:space="preserve"> ПС 110/6 кВ Железный Кряж, Забайкальский край</t>
  </si>
  <si>
    <t xml:space="preserve">ПС 110 кВ Цесовская,   
г. Иркутск
</t>
  </si>
  <si>
    <t>Заказчик: АО "Висмут" 
Юридический адрес: 674347, Забайкальский край, м. р-н Калганский, с.п. Козловское, 
с. Козлово, тер. ТОР Забайкалье
Почтовый адрес: 
672002, г. Чита, а/я 998
Тел. (3022) 400-499
Управляющий директор Соболев С.А.</t>
  </si>
  <si>
    <t>Горно-металлургический комбинат "Удокан" I очередь строительства, 
Забайкальский край, Каларский район,
п. Новая Чара – п. Удокан.</t>
  </si>
  <si>
    <t xml:space="preserve">Выполнение комплекса работ по объектам 
«Горно-металлургический комбинат «Удокан» I очередь строительства на производительность 12,0 млн. тонн руды в год. «Дробильно-конвейерный комплекс ДКК №1», «Обогатительная фабрика», «Гидрометаллургический завод» </t>
  </si>
  <si>
    <t>Заказчик: Общество с ограниченной ответственностью "Удоканская медь"
674153, Забайкальский край, Каларский р-он, пос. Удокан, ул. Фабричная, дом 1. Генеральный директор Миронов Г.С.</t>
  </si>
  <si>
    <t>Заказчик: АО "Группа "Илим"
191025, г. Санкт-Петербург, ул. Марата,17,
Филиал АО "Группа "Илим" в г. Братске, 665718, РФ, Иркутская обл., г. Братск
Тел: (3953) 340649                                Директор филиала Ванчуков А.И.</t>
  </si>
  <si>
    <t>1775/2-021-Р от 05.05.2021</t>
  </si>
  <si>
    <t>Выполнение работ на объекте "Кабельная линия "Строительство внеплощадных сетей электроснабжения с возведением распределительного пункта 10 кВ и трансформаторной подстанции 10/0,4 кВ Амурского газохимического комплекса (АГКХ)". Монтаж концевых муфт в количестве 3 шт</t>
  </si>
  <si>
    <t xml:space="preserve">Амурский газохимический комплекс, Свободненский район, Амурская область 
</t>
  </si>
  <si>
    <t>Заказчик: ООО "Амурский газохимический комплекс"                                                  676436, Амурская область, Свободненский р-н, с Черниговка, Октябрьская ул., д. 18в, помещ. 9                                                       Подрядчик: АО "Гидроэлектромонтаж" 
675000,г. Благовещенск, ул. Пионерская,204    
Генеральный директор Васильев В.А.</t>
  </si>
  <si>
    <t>Общество с ограниченной ответственностью "РУСАЛ Тайшетский Алюминиевый Завод" (ООО РУСАЛ Тайшет") в лице ООО "ИСК"
РФ, 665023, Иркутская обл., Тайшетский р-н, с.Старый Алькушет, ул.Советская, д.42   Генеральный директор Перцев В.А.</t>
  </si>
  <si>
    <t xml:space="preserve">Тайшетский алюминиевый завод, г.Тайшет, Иркутская область  
</t>
  </si>
  <si>
    <t>Работы в рамках КП 13-C210 "Монтаж систем электроснабжения, электроосвещения Склада глинозема и Склада фторсолей", "Приемное устройство сырья", "Силос глинозема 18 000 тн. №1 (с узлом загрузки автоцистерн)", "Силос глинозема 18 000 тн. №2", "Здание бытовых помещений", "Воздуходувная станция" "Строительная часть склада фторсолей и пускового сырья в биг-бэгах", "Оборудование склада фторсолей и пускового сырья в биг-бегах"</t>
  </si>
  <si>
    <t xml:space="preserve"> 017/02-ВЭС-2022 от 21.04.2022</t>
  </si>
  <si>
    <t xml:space="preserve">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Восточные электрические сети
664047, Иркутская область, г. Иркутск, ул. Депутатская, д.38
Тел./факс.: 8(395-2)794-859, 8(395-2) 794-811 и.о. директора филиала Барсуков А.В.                 </t>
  </si>
  <si>
    <t>Осуществление авторского надзора за строительством объекта ПС 35/10 кВ Поздняково с отходящими ВЛ 10 кВ. «Реконструкция объекта: ВЛ-35 кВ Коты - Хомутово от опоры №58 до опоры №154 инв. №6000100013»</t>
  </si>
  <si>
    <t>Осуществление авторского надзора за строительством объекта «ПС 35/10 кВ Индустриальная с ВЛ 35 кВ» по титулу: «К_Ю41 Строительство ПС 35 кВ Индустриальная (с установкой 2-х ТМ 10 МВА) с ВЛ 35 кВ протяженностью 0,2 км (прирост мощности 20 МВА)»</t>
  </si>
  <si>
    <t>2-ЮЭС-2022 (ПС Индустриальная-АН) от 29.04.2022</t>
  </si>
  <si>
    <t xml:space="preserve">ПС 35/10 кВ Поздняково,                     Иркутская область </t>
  </si>
  <si>
    <t>Оказание услуг по техническому обслуживанию устройств РЗА оборудования 110-500 кВ на ПС Тайшет и оборудования 220-500 кВ на ПС Озерная.</t>
  </si>
  <si>
    <t>117/ЗЭС от 04.04.2022</t>
  </si>
  <si>
    <t>Общество с ограниченной ответственностью "РУСАЛ Тайшетский Алюминиевый Завод" (ООО РУСАЛ Тайшет") в лице ООО "ОК РУСАЛ Промтехразвитие"
РФ, 665003, Иркутская обл., Тайшетский р-н, промплощадка ТаАЗ.  Генеральный директор Бенц В.А.</t>
  </si>
  <si>
    <t>ПТР-Д-22-098 от 17.02.2022</t>
  </si>
  <si>
    <t>Работы по разгрузке и перемещению  трансформатора 220 кВ на Главную понизительную подстанцию (ГПП 220/10) Тайшетского Алюминиевого Завода</t>
  </si>
  <si>
    <t>02.2022</t>
  </si>
  <si>
    <t>ЮВГК 2(01-1-0838) от 14.02.2022</t>
  </si>
  <si>
    <t>Заказчик: Акционерное общество «Южно-Верхоянская Горнодобывающая Компания» (АО «ЮВГК»)                                           677000, Республика Саха (Якутия), г. Якутск, ул. Дзержинского, д.23
Управляющий директор Симон А.В.</t>
  </si>
  <si>
    <t>06.2022</t>
  </si>
  <si>
    <t xml:space="preserve">Участок Нежданинский, 
Республика Саха (Якутия) 
</t>
  </si>
  <si>
    <t>ЮВГК 2(09-1-0509) от 15.04.2022</t>
  </si>
  <si>
    <t xml:space="preserve">Работы по монтажу наружных сетей электроснабжения по эстакаде ПС 110 кВ - РУ-6 кВ ГОКа  на объект - Кабельные линии 6 кВ (КЛ-6 кВ). РУ-6 кВ ПС 110 кВ Нежданинская - РУ-6 кВ ГОКа </t>
  </si>
  <si>
    <t>Приемо-сдаточные испытания вновь вводимого в эксплуатацию электрооборудования в соответствии с нормами ПУЭ на объекте "Инфраструктура. "Главный корпус обогатительной фабрики "АБК", находящегося на территории участка "Нежданинский"</t>
  </si>
  <si>
    <t>Демонтаж и такелаж силового трансформатора типа ТРДН-40000/110 (Т-5) , перевозка автотрансформатора типа АТДЦТН-200000/220/110-УХЛ1 (АТ-4) на объекте: ПС 220 кВ "Междуреченская"</t>
  </si>
  <si>
    <t xml:space="preserve"> 229Д-70П-3010 от 20.04.2022</t>
  </si>
  <si>
    <t xml:space="preserve">Строительство объекта "ПС 220 кВ Полимер" 
2 этап строительства.
Выполнение полного комплекса строительно-монтажных и пусконаладочных работ </t>
  </si>
  <si>
    <t>3-ЮЭС-2021 (ПС Цесовская-АН) 
от 29.04.2022</t>
  </si>
  <si>
    <t>4-ЮЭС-2022 (ПС Цесовская-КРД) 
от 30.06.2022</t>
  </si>
  <si>
    <t>Корректировка РД, проведение повторной негосударственной экспертизы ПД по объекту: "ПС 110 кВ Цесовская с КЛ-110 кВ"</t>
  </si>
  <si>
    <t xml:space="preserve">2-ЮЭС-2012 (Высота-АН) от 04.04.2022 </t>
  </si>
  <si>
    <t xml:space="preserve">Оказание услуг по осуществлению авторского надзора за строительством объекта «ПС 35/10 кВ Высота с ВЛ 35 кВ» </t>
  </si>
  <si>
    <t>119/ЗЭС от 04.04.2022 доп.согл.1</t>
  </si>
  <si>
    <t>Услуги по техническому обслуживанию устройств РЗА оборудования 500 кВ ПС 500 кВ "Озерная"</t>
  </si>
  <si>
    <t xml:space="preserve">Строительно-монтажные и пусконаладочные работы по объекту «Модернизация ПС 500/220/10 кВ БПП (Замена реакторов 500 кВ Р-1,2)» </t>
  </si>
  <si>
    <t>07.2022</t>
  </si>
  <si>
    <t>Заказчик: ООО «ЕвроСибЭнерго-инжиниринг»
664050,г. Иркутск, ул. Байкальская, д. 259
тел.: (3952) 794-683, факс: (3952) 794-546
Генеральный директор Борисычев А.В.</t>
  </si>
  <si>
    <t>72/22 от 25.07.2022  доп.согл 1-3</t>
  </si>
  <si>
    <t xml:space="preserve">Тайшетская анодная фабрика, г.Тайшет, Иркутская область  
</t>
  </si>
  <si>
    <t>Электромонтажные и пусконаладочные работы двухцепного токопровода 10 кВ с воздушной изоляцией. Второй этап строительства Тайшетской Анодной фабрики</t>
  </si>
  <si>
    <t>ПТР-Д-22-333 от 05.07.2022</t>
  </si>
  <si>
    <t>Монтаж систем электроснабжения и электроосвещения Участка переплава и обработки шлака ЛЦ</t>
  </si>
  <si>
    <t>11.2022</t>
  </si>
  <si>
    <t>Работы по КП 14-С317 «Устройство электроснабжения ВЛМ № 1», код ИСР 140100 «Здание литейного цеха с пристройками», код ИСР 170607 «КТП 3-1 (литейное производство КТП №1)»</t>
  </si>
  <si>
    <t>446С001С1096 от 07.11.2022</t>
  </si>
  <si>
    <t>ВЛ 110 кВ Кропоткинская-Вернинская и ПС 110 кВ Вернинская (реконструкция),
п. Кропоткин, Иркутская область</t>
  </si>
  <si>
    <t>71/06-2022
 от 02.07.2022 
доп.согл.1-3</t>
  </si>
  <si>
    <t>Строительно-монтажные и пусконаладочные работы по строительству ВЛ 110 кВ Кропоткинская - Вернинская № 2 с отпайкой на РП Полюс и реконструкции ПС 110 кВ Вернинская</t>
  </si>
  <si>
    <t>70/06-2022 от 27.06.2022</t>
  </si>
  <si>
    <t>Диагностика передвижной мобильной подстанции 25 МВА 110/10 кВ</t>
  </si>
  <si>
    <t>Строительно-монтажные работы по объекту: "Корпус приготовления реагентов № 2 Олимпиадинский ГОК" ( КПР-2)</t>
  </si>
  <si>
    <t>Расширение БИО-2 на 4 биореактора</t>
  </si>
  <si>
    <t>ЮВГК 2(01-1-0880) от 25.05.2022 доп.согл1-2</t>
  </si>
  <si>
    <t>Работы по автоматизации систем управления отопления и вентиляции на объекте – "Корпус очистки оборотной воды"</t>
  </si>
  <si>
    <t>Монтажные и пусконаладочные работы по замене масляных выключателей на вакуумные ячейки №20 РП-9 ПВиИК филиала АО «Группа»Илим» в г. Братске</t>
  </si>
  <si>
    <t>010-821-22 от 25.07.2022</t>
  </si>
  <si>
    <t>Газовая котельная, г. Благовещенск, Амурская область</t>
  </si>
  <si>
    <t>Выполнение инженерных изысканий и осуществление подготовки проектной и рабочей документации, строительство объекта "Строительство газовой котельной в Северном жилом районе города Благовещенска, Амурской области"</t>
  </si>
  <si>
    <t>0001/2022 от 18.02.2022</t>
  </si>
  <si>
    <t>УМ-22-310 от 16.05.2022
доп.согл 1-2</t>
  </si>
  <si>
    <t>Пусконаладочные работы и поставка магистральных шинопроводов до 1 кВ на объекте "Горно-металлургический комбинат "Удокан". I очередь строительства на производительность 12,0 млн. тонн руды в год. "Обогатительная фабрика", "Гидрометаллургический завод"</t>
  </si>
  <si>
    <t>Горно-металлургический комбинат "Удокан", Забайкальский край, Каларский район, п. Новая Чара – п. Удокан.</t>
  </si>
  <si>
    <t>УМ-22-488 от 17.08.2022</t>
  </si>
  <si>
    <t>Поставка, монтаж и пусконаладочные работы комплектных трансформаторных подстанций на объекте «Горно-металлургический комбинат «Удокан»</t>
  </si>
  <si>
    <t xml:space="preserve">Полный комплекс работ по монтажу электротехнического оборудования, электроснабжения, систем автоматизации, выполнение пусконаладочных работ необходимых для ввода в работу ГА№4 в рамках строительства Усть-Среднеканской ГЭС </t>
  </si>
  <si>
    <t>Монтаж трансформаторного оборудования на территории "Амурского газохимического комплекса (АГХК)"</t>
  </si>
  <si>
    <t>359Д-70П-3012 от 16.05.2022</t>
  </si>
  <si>
    <t>Нерюнгринская ГРЭС, Республика Саха (Якутия)</t>
  </si>
  <si>
    <t>Выполнение работ по повышению надежности работы электрооборудования Нерюнгринской ГРЭС (такелаж и монтаж трансформаторного оборудования)</t>
  </si>
  <si>
    <t>641Д-70П-3010 от 01.09.2022</t>
  </si>
  <si>
    <t>Sz 77-22 от 10.04.2022
Доп.согл.1</t>
  </si>
  <si>
    <t xml:space="preserve">Выполнение СМР и ПНР по объекту "ВЛ 110 кВ и ПС 110 кВ Кадаликан" </t>
  </si>
  <si>
    <t>Олимпиадинский ГОК, Красноярский край</t>
  </si>
  <si>
    <t>1-11/2022 от 01.11.2022</t>
  </si>
  <si>
    <t xml:space="preserve">Электромонтажные и пусконаладочные работы по замене силовых трансформаторов, работы по разборке трансформатора на объектах УВВС  АО "НТЭК" </t>
  </si>
  <si>
    <t>ЭМР и ПНР - по ревизии активной части реактора типа РОМБС-16700/220-УХЛ1 ;
- по устранению течи масла расширительного бака реактора типа РОМБС-16700/220-УХЛ1,
эксплуатируемых на ПС 220 кВ «Хани», филиала ПАО «ФСК ЕЭС» - МЭС Востока</t>
  </si>
  <si>
    <t>41/22-05-П от 21.07.2022</t>
  </si>
  <si>
    <t>29 от 08.09.2022 Соглашение от 12.12.2022</t>
  </si>
  <si>
    <t>Капитальный ремонт трансформатора ТМ-4000/10-85У1</t>
  </si>
  <si>
    <t>Братский завод ферросплавов, г. Братск, Иркутская область</t>
  </si>
  <si>
    <t>594Д-40П-4010 от 01.09.2022</t>
  </si>
  <si>
    <t>Эксплуатационные испытания и замеры сопротивлений в электроустановках на объектах Заказчика.</t>
  </si>
  <si>
    <t>Светлинская ГЭС (Вилюйская ГЭС-3), Республика Саха (Якутия)</t>
  </si>
  <si>
    <t>373 от 19.10.2022</t>
  </si>
  <si>
    <t>Ремонт  блочного трансформатора типа ТДЦ-125000/220 УХЛ1 на объекте: "Светлинская ГЭС".</t>
  </si>
  <si>
    <t>10.2022</t>
  </si>
  <si>
    <t>002/02/2023 от 25.01.2023</t>
  </si>
  <si>
    <t>Работы по вывозке рабочего колеса МП-1 на центральный склад Братской ГЭС в рамках объекта: «Гидротурбина 5. Инв. № 00040605. Техническое перевооружение Замена рабочего колеса Братской ГЭС ГА №5»</t>
  </si>
  <si>
    <t>01.2023</t>
  </si>
  <si>
    <t xml:space="preserve">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Восточные электрические сети
664047, Иркутская область, г. Иркутск, ул. Депутатская, д.38
Тел./факс.: 8(395-2)794-859, 8(395-2) 794-811 и.о. директора филиала Барсуков А.В.   </t>
  </si>
  <si>
    <t>ПС 35 кВ Геологическая, Иркутская область</t>
  </si>
  <si>
    <t>017/07-ВЭС-2022
от 30.12.2022</t>
  </si>
  <si>
    <t>Оказание услуг по осуществлению авторского надзора за строительством объекта «Строительство объекта: ПС 35/10 кВ Геологическая» «Строительство объекта: ВЛ 35 кВ Столбово – Усть-Куда 2-й этап», «Реконструкция объекта: ВЛ-10кВ Грановщина - Усть-Куда Цепь Б от ПС 35/10кВ Грановщина до опоры 202 с.Усть-Куда инв. № 6000100098», «Реконструкция объекта:ВЛ-10кВ Грановщина-Усть-Куда Цепь А от ПС 35/10 кВ Грановщина до оп.181с.Усть-Куда инв. № 6000100099»</t>
  </si>
  <si>
    <t>Работы в рамках по КП 17-C317 «Электромонтажные работы. Кабельные линии от РП 12 до КТП 12-1, 12-2, 12-3, 12-4, 12-5. Кабельные линии от КТП 12-1, 12-2, 12-3, 12-4, 12-5 до ЛЦ. ПНР»</t>
  </si>
  <si>
    <t>446С001С1132 от 
16.01.2023</t>
  </si>
  <si>
    <t>Реконструкция и техническое перевооружение ТОФ с увеличением мощности. Корректировка 3 Пускового кмплекса</t>
  </si>
  <si>
    <t>2691/22 от 19.12.2022</t>
  </si>
  <si>
    <t>БПП/Бр-ЦСП-Д-22-851 от 05.12.2022</t>
  </si>
  <si>
    <t>Работы по устройству санитарно-бытового вагон-дома на территории Парка «Металлург»</t>
  </si>
  <si>
    <t>8 от 28.12.2022</t>
  </si>
  <si>
    <t>Монтаж металлоконструкций на объекте Олимпиадинский ГОК</t>
  </si>
  <si>
    <t>Заказчик: Муниципальное учреждение "Городское управление капитального строительства" (МУ "ГУКС") - уточнить в договоре реквизиты                                                  РФ,  675000, Амурская область, 
г. Благовещенск, ул. Зейская, д. 173А            Тел./Факс: (4162) 222-656                                    и.о. директора Волкова И.А.</t>
  </si>
  <si>
    <t>Заказчик: Акционерное общество «АО «Усть-СреднеканГЭСстрой» (АО «Усть-СреднеканГЭСстрой»)                                          Место нахождения: РФ, 685918, г. Магадан, пгт. Уптар, ул. Усть-Илимская, д. 3.
Почтовый адрес: РФ, 680017, г. Хабаровск, ул. Ленина, д.57 лит. А, эт.4 пом. VI
Директор обособленного подразделения в г. Советская Гавань Зырянов Д.С.</t>
  </si>
  <si>
    <t>Заказчик: АО "Севзото"                                              РФ, 666904, Иркутская область, г.Бодайбо, ул. Красноармейская,83                                     Директор Сурвилло В.Г.</t>
  </si>
  <si>
    <t>ПС 110 кВ Кадаликан, Иркутская область, Бодайбинский район</t>
  </si>
  <si>
    <t xml:space="preserve">Заказчик: ПАО "Полюс"                            123056, г. Москва, ул. Красина, д. 3, стр.1       тел: (495) 641-33-77 в лице                                  АО "Полюс Красноярск"                                  660061, г.Красноярск, ул. Цимлянская, 37        тел: (391) 290 61 03                                                                                         </t>
  </si>
  <si>
    <t xml:space="preserve">Заказчик: ПАО "Полюс"                            123056, г. Москва, ул. Красина, д. 3, стр.1       тел: (495) 641-33-77 в лице                                  АО "Полюс Красноярск"                                  660061, г.Красноярск, ул. Цимлянская, 37        тел: (391) 290 61 03                                               </t>
  </si>
  <si>
    <r>
      <t>Заказчик:</t>
    </r>
    <r>
      <rPr>
        <sz val="9"/>
        <rFont val="Times New Roman"/>
        <family val="1"/>
        <charset val="204"/>
      </rPr>
      <t xml:space="preserve"> АО "Витимэнергострой"
664003, г Иркутск, ул. Ленина, 21
Тел.89149266010 Тел/факс: 8(3952) 33-60-35
Генеральный директор Заиграев А.С.</t>
    </r>
  </si>
  <si>
    <t>Передвижная мобильная подстанция 25 МВА 110/10 кВ, г. Петровапловск-Камчатский</t>
  </si>
  <si>
    <t>ТЭЦ-2, ТЭЦ-3, УВВС, ПТЭС, г.Норильск</t>
  </si>
  <si>
    <t>Заказчик: Общество с ограниченной ответственностью ОК "РУСАЛ Анодная фабрика"  
РФ, 665003, Иркутская обл., Тайшетский р-н, промплощадка ТаАЗ.                               Генеральный директор ООО "ОК РУСАЛ Промтехразвитие" Бенц В.А.</t>
  </si>
  <si>
    <t>Заказчик: Акционерное общество «Производственный комплекс ХК ЭЛЕКТРОЗАВОД» (АО ПК ХК Электрозавод)                                                      РФ, 107023, г. Москва,
ул. Электрозаводская, д. 21 
Тел. (495) 777-82-05
Генеральный директор Грашкин В.А.</t>
  </si>
  <si>
    <t>ПС 220 кВ Хани, Республика Саха (Якутия)</t>
  </si>
  <si>
    <t>Заказчик: Общество с ограниченной ответственностью "Удоканская медь"
674153, Забайкальский край, Каларский р-он, пос. Удокан, ул. Фабричная, дом 1. Директор по строительству технологического комплекса Кобзарь Д.В.</t>
  </si>
  <si>
    <t xml:space="preserve">Работы по замене силовых трансформаторов (в том числе фундаменты) на объектах ТЭЦ-2, ТЭЦ-3, УВВС, ПТЭС АО "НТЭК" </t>
  </si>
  <si>
    <t>Спортивные залы дзюдо СШОР Спартак, Иркутская область, г. Брастк</t>
  </si>
  <si>
    <t xml:space="preserve">Заказчик: ОГБУ «СШОР «Спартак»                 РФ, 665717, Иркутская область, г. Братск, ул. Комсомольская, 35                        и.о.директора Павлова О.Н.
</t>
  </si>
  <si>
    <t>Заказчик: АО "Вилюйская ГЭС-3"                    678196, Республика Саха (Якутия), Мирнинский район, п. Светлый, ул. Воропая, д. 22А                                                     Управляющий директор Русаков М.В.</t>
  </si>
  <si>
    <t>УВВС,  г.Норильск</t>
  </si>
  <si>
    <t>Заказчик: АО "Норильско-Таймырская энергетическая компания" (АО "НТЭК")                  РФ, 663305, Красноярский край, г. Норильск, ул. Ветеранов,19, тел.(3919) 431110          Генеральный директор Липин С.В.       Подрядчик: Акционерное общество "Таймырское предприятие Гидроэлектромонтаж" (АО ТП ГЭМ)                        и.о. генерального директора Андрейчев В.Б.</t>
  </si>
  <si>
    <t>Заказчик: ООО "Братский завод ферросплавов "
665716, Иркутская обл., г. Братск,                           П 01 11 01 00, тел: (3953) 49-59-01
Управляющий директор Соколов С.Е.</t>
  </si>
  <si>
    <t>Парк "Металлург", Иркутская оласть, г.Братск</t>
  </si>
  <si>
    <t xml:space="preserve">Заказчик: ПАО "Полюс"                            123056, г. Москва, ул. Красина, д. 3, стр.1       тел: (495) 641-33-77 в лице                                  АО "Полюс Красноярск"                                  660061, г.Красноярск, ул. Цимлянская, 37        тел: (391) 290 61 03                                             Подрядчик: ООО "КМУ ГЭМ"                         РФ, 660098, г. Красноярск, ул. Алексеева,17 пом.377                                                         Директор Волошин А.А.
       </t>
  </si>
  <si>
    <t xml:space="preserve">Заказчик: Общество с ограниченной ответственность «Промышленная строительно-монтажная компания» (ООО «ПСМК»)                                                         РФ, 663316, Красноярский край, город Норильск, улица Октябрьская, дом 14                                                     Генеральный директор Лямцев П.Е.
</t>
  </si>
  <si>
    <t>Талнахская обогатительная фабрика, г. Норильск</t>
  </si>
  <si>
    <t>12.2023</t>
  </si>
  <si>
    <t>07.2023</t>
  </si>
  <si>
    <t>05.2023</t>
  </si>
  <si>
    <t>04.2023</t>
  </si>
  <si>
    <t>10.2023</t>
  </si>
  <si>
    <t xml:space="preserve">Заказчик - АО "ДГК" Хабаровск                                                     Подрядчик: АО "Гидроэлектромонтаж" 
675000,г. Благовещенск, ул. Пионерская,204    
Генеральный директор Васильев В.А. </t>
  </si>
  <si>
    <t>03-СЭС/23-ПИР 
от 16.06.2023
доп.согл 1</t>
  </si>
  <si>
    <t>06.2023</t>
  </si>
  <si>
    <t>ПС 220/110/35 кВ Коршуниха, Иркутская область</t>
  </si>
  <si>
    <t>158/ЗЭС-23 от 10.05.2023</t>
  </si>
  <si>
    <t>Оказание услуг по техническому обслуживанию устройств РЗА присоединений 110-500 кВ на ПС Тайшет</t>
  </si>
  <si>
    <t>ПС 500/110/35 кВ Тайшет,
Иркутская область</t>
  </si>
  <si>
    <t>Заказчик: ОАО «Иркутская электросетевая компания»
664033, г. Иркутск, ул. Лермонтова 257,        тел: (3952) 792-459, факс: (3952) 792-461
Генеральный директор  Новиков Е.А.
Филиал ОАО «Иркутская электросетевая компания» Западные электрические сети 
665253 г.Тулун, пер.Энергетиков 6 
Директор филиала Аверьянов С.А.</t>
  </si>
  <si>
    <t>70/23 от 25.05.2023</t>
  </si>
  <si>
    <t>Заказчик: ОАО «Иркутская электросетевая компания»                                                          664033, г. Иркутск, ул. Лермонтова 257,     тел: (3952) 792-459, факс: (3952) 792-461 
Генеральный директор Конопелько Д.В.
Филиал ОАО «Иркутская электросетевая компания» Северные электрические сети
665709, Иркутская область, г. Братск, а/я 786 
тел. (3953) 33-17-27, 
Директор по капитальному строительству Салахутдинов Т.К.</t>
  </si>
  <si>
    <t>Строительно-монтажные и пусконаладочные работы по объекту "Реконструкция ПС 220/110/35 кВ Коршуниха (замена АТ-1,2 2х125 МВА на 2х200 МВА, прирост мощности 150 МВА)"</t>
  </si>
  <si>
    <t>ПТР-Д-23-431 
от 24.07.2023</t>
  </si>
  <si>
    <t xml:space="preserve">Заказчик: Общество с ограниченной ответственностью "РУСАЛ Тайшетский алюминиевый завод" в лице Генерального директора ООО "ОК РУСАЛ Промтехразвитие" Бенц В.А.
РФ, 665003, Иркутская обл., Тайшетский р-н, промплощадка ТаАЗ.                               </t>
  </si>
  <si>
    <t xml:space="preserve">Тайшетский алюминиевый завод, г.Тайшет, Иркутская область  </t>
  </si>
  <si>
    <t>Работы по монтажу и пусконаладке электротехнического оборудования трансформатора Т-4 220 кВ для расширения схемы электроснабжения ТаАЗа на объектах: "Закрытое распределительное устройство 220 кВ (ЗРУ)" и "Главная понизительная подстанция (ГПП) 220/10 кВ"</t>
  </si>
  <si>
    <t>446С001С1143 
от 25.01.2023
доп.согл.1-2</t>
  </si>
  <si>
    <t xml:space="preserve">Общество с ограниченной ответственностью "РУСАЛ Тайшетский Алюминиевый Завод" (ООО РУСАЛ Тайшет") в лице Юшманова А.В.
РФ, 665023, Иркутская обл., Тайшетский р-н, с.Старый Алькушет, ул.Советская, д.42   </t>
  </si>
  <si>
    <t>Работы в рамках по КП 14-C326 «Монтаж сетей автоматизации от ПСУ1 до Миксеров № 3, 4 и Металлотракта. ПНР ВЛМ № 1, миксеров № 3, 4 (115 тн.), технологического оборудования комплекса плоских слитков № 1»</t>
  </si>
  <si>
    <t xml:space="preserve">39-СЭС-2023-ОКС-ц 
от 19.12.2023
</t>
  </si>
  <si>
    <t>08.2024</t>
  </si>
  <si>
    <t>Осуществление авторского надзора за строительством объекта: "Реконструкция ПС 220/110/35 кВ Коршуниха (замена АТ -1,2 2х125 МВА на 2х200 МВА, прирост мощности 150 МВА)"</t>
  </si>
  <si>
    <t xml:space="preserve">Заказчик: ОАО «Иркутская электросетевая компания»                                                          664033, г. Иркутск, ул. Лермонтова 257,     тел: (3952) 792-459, факс: (3952) 792-461 
Генеральный директор Конопелько Д.В.
</t>
  </si>
  <si>
    <t xml:space="preserve">2-СЭС-2024-ОКС-ц 
от 27.02.2024
</t>
  </si>
  <si>
    <t>02.2024</t>
  </si>
  <si>
    <t>03.2024</t>
  </si>
  <si>
    <t>12.2024</t>
  </si>
  <si>
    <t>Корректировка рабочей документации по объекту: "Реконструкция ПС 220/110/35 кВ Коршуниха (замена АТ -1,2 2х125 МВА на 2х200 МВА, прирост мощности 150 МВА)"</t>
  </si>
  <si>
    <t>446С001С670 от  03.05.2021
доп.согл 1-6</t>
  </si>
  <si>
    <t xml:space="preserve">07.2023 
</t>
  </si>
  <si>
    <t>446С001С966 от 24.05.2022 
доп.согл 1-3</t>
  </si>
  <si>
    <t>06.2024</t>
  </si>
  <si>
    <t>09.2023</t>
  </si>
  <si>
    <t>446С001С1126 
от 21.12.2022
доп.согл.1</t>
  </si>
  <si>
    <t>Работы в рамках по КП 14-C325 «Электромонтажные работы и ПНР Комплекса резки плоских слитков ЛЦ», код ИСР 140100 "Здание литейного цеха с пристройками", код ИСР 140601 "Линия резки плоских слитков"</t>
  </si>
  <si>
    <t>ПС 110 кВ Артемовская, Бодайбинский район, Иркутская область</t>
  </si>
  <si>
    <t>ВЭСТ-18-23 от 05.06.2023           доп.согл1</t>
  </si>
  <si>
    <t>Комплекс работ по реконструкции ПС 110 кВ Артемовская с заменой силового трансформатора Т2 10 МВА на 16 МВА</t>
  </si>
  <si>
    <t>ПС 110 кВ Вернинская, Бодайбинский район, Иркутская область</t>
  </si>
  <si>
    <t>ВЭСТ-23-23 от 10.08.2023        доп.согл 1</t>
  </si>
  <si>
    <t>Комплекс работ по реконструкции ПС 110 кВ Вернинская с включением в работу новой ММПС мощностью 25 МВА</t>
  </si>
  <si>
    <t>08.2023</t>
  </si>
  <si>
    <t>05.2024</t>
  </si>
  <si>
    <t xml:space="preserve">Заказчик: АО "Полюс Алдан" 
Подрядчик ООО "Полюс Строй"
660075, г Красноярск, ул. Маерчака,10 пом.196
Тел/факс: 8(391) 219-17-37
Управляющий директор Никифоров И.Г. </t>
  </si>
  <si>
    <t>ПС406-23 от 25.07.2023              доп согл.1</t>
  </si>
  <si>
    <t>07.2024</t>
  </si>
  <si>
    <t>Золотоизвлекательная фабрика Полюс Алдан, Республика Саха (Якутия)</t>
  </si>
  <si>
    <t>Комплекс работ по проекту "Техническое перевооружение ЗИФ АО "Полюс Алдан" на производительность до 7,5 млн.т.год"</t>
  </si>
  <si>
    <t>11.2024</t>
  </si>
  <si>
    <t>СЛЗ-175/21 от 03.11.2021               доп согл. 2-6</t>
  </si>
  <si>
    <t>ПК748-22 от 20.06.2022 
 доп.согл 1-5</t>
  </si>
  <si>
    <t>ПК548-22 от 24.05.2022        доп.согл 1-8</t>
  </si>
  <si>
    <t>SP1624-БФ-6/19 от 19.08.2021              доп согл.1-10</t>
  </si>
  <si>
    <t>ОК-139/21 от 16.07.2021                доп согл. 1-4</t>
  </si>
  <si>
    <t>ПС 220 кВ Рассолы, Усть-Кутский район, Иркутская область</t>
  </si>
  <si>
    <t>Заказчик: ООО "Иркутская нефтяная компания"
664007, г. Иркутск, пр-т Большой     Литейный, 4                                                                             Управляющий директор по правовой работе и региональной политике, член Правления Милов Е.Ю.</t>
  </si>
  <si>
    <t>Дополнение №19/21-7349 от 19.01.2023 к договору 19/21 от 17.06.2021</t>
  </si>
  <si>
    <t>Выполнение полного комплекса строительно-монтажных и пусконаладочных работ по строительству ПС 220 кВ Рассолы</t>
  </si>
  <si>
    <t xml:space="preserve">364ед/2022 от 23.04.2022               доп согл.2 </t>
  </si>
  <si>
    <t>3.07.0.06.1.2023.0590 от 04.05.2023</t>
  </si>
  <si>
    <t xml:space="preserve">Пусконаладочные работы электротехнического оборудования систем электроснабжения и автоматизации в рамках завершения строительства Усть-Среднеканской ГЭС </t>
  </si>
  <si>
    <t>3.07.0.08.1.2023.0747 от 09.06.2023</t>
  </si>
  <si>
    <t>Электромонтажные работы для завершения устройства водосборной, глухой и станционной плотин, необходимых для завершения строительства Усть-Среднеканской ГЭС</t>
  </si>
  <si>
    <t>3.07.0.08.1.2023.0795 от 15.06.2023</t>
  </si>
  <si>
    <t>Работы по системам автоматизации, необходимых для завершения строительства Усть-Среднеканской ГЭС</t>
  </si>
  <si>
    <t>758Д-150П-3013 от 17.11.2021               доп согл.1-3</t>
  </si>
  <si>
    <t xml:space="preserve">08.2024
</t>
  </si>
  <si>
    <t>Заказчик: АО "Норильско-Таймырская энергетическая компания" (АО "НТЭК")                  РФ, 663305, Красноярский край, г. Норильск, ул. Ветеранов,19, тел.(3919) 431110               Генеральный директор Липин С.В.                         Подрядчик: ООО "КМУ ГЭМ"                                    РФ, 660098, г. Красноярск, ул. Алексеева,17 пом.377                                                         Директор Волошин А.А.</t>
  </si>
  <si>
    <t>383Д-70П-3010 от  14.06.2022               НТЭК-32-697/22 от 16.05.2022</t>
  </si>
  <si>
    <t>6-2023 от 27.02.2023 доп согл. 1-2</t>
  </si>
  <si>
    <t>ПС 110/35/6 кВ ЗИФ, респ. Саха (Якутия)</t>
  </si>
  <si>
    <t xml:space="preserve">Заказчик: Общество с ограниченной ответственностью "РУСАЛ Тайшетский Алюминиевый Завод" (ООО РУСАЛ Тайшет") в лице Юшманова А.В.
РФ, 665023, Иркутская обл., Тайшетский р-н, с.Старый Алькушет, ул.Советская, д.42   </t>
  </si>
  <si>
    <t>Заказчик: Общество с ограниченной ответственностью "РУСАЛ Тайшетский Алюминиевый Завод" (ООО РУСАЛ Тайшет") в лице ООО "ИСК"
РФ, 665023, Иркутская обл., Тайшетский р-н, с.Старый Алькушет, ул.Советская, д.42   Генеральный директор Перцев В.А.</t>
  </si>
  <si>
    <t>Заказчик: Дальневосточная распределительная сетевая компания, Южно-якутские электрические сети 
678901 республика Саха (Якутия), г.Алдан, ул.Мельниченко, 4;
Тел.: (41145) 36-593
Генподрядчик АО "Энергетические технологии"
664033, г Иркутск, ул. Лермонтова,130 оф. 110
Тел/факс: 8(3952) 423-523
Генеральный директор Черных О.Г.</t>
  </si>
  <si>
    <t xml:space="preserve">Разработка комплекта основных технических решений, проектной и рабочей документации по титулу "Реконструкция ПС 110/35/6 кВ ЗИФ с установкой дополнительного силового трансформатора мощностью 16 МВА" </t>
  </si>
  <si>
    <t>02.2023</t>
  </si>
  <si>
    <t>68БСТ/2022 от 29.12.2022               доп согл. 1-5</t>
  </si>
  <si>
    <t>ПС 110 кВ Яракта, Усть-Кутский район, Иркутская область</t>
  </si>
  <si>
    <t>Заказчик: ООО "Иркутская нефтяная компания"
664007, г. Иркутск, пр-т Большой     Литейный, 4                                                         Подрядчик: ООО "БайкалСтройТэк"                                       664023, Иркутская область, г. Иркутск, ул. Красноказачья, стр. 72                           Генеральный директор: Белотелов Е.А.</t>
  </si>
  <si>
    <t>Комплекс строительно-монтажных работ по установке и сборке трансформатора ТДТН 80 МВА в количестве 2х единиц на объекте ПС 110 кВ Яракта и Токопровод-35 кВ ПС 110 кВ Яракта-ЗРУ 35 кВ Центральная ГТЭС Ярактинского НГКМ</t>
  </si>
  <si>
    <t>157Д-02П-3010 от 27.04.2023</t>
  </si>
  <si>
    <t xml:space="preserve">Заказчик: АО "Вилюйская ГЭС-3"                    678196, Республика Саха (Якутия), Мирнинский район, п. Светлый, ул. Воропая, д. 22А                                                     Исполнительный директор РазыковД.А. </t>
  </si>
  <si>
    <t xml:space="preserve">Капитальный ремонт трансформатора ТДЦ-125000/220 УХЛ1 </t>
  </si>
  <si>
    <t>Комплекс пусконаладочных работ по строительству ПП 220 кВ Нюя с заходами ВЛ 220 кВ Городская – Пеледуй с отпайкой на ПС НПС-11 в РУ 220 кВ ПП 220 кВ Нюя ориентировочной протяженностью 4 км (4х1 км), строительство двухцепной ВЛ 220 кВ Нюя – Чаянда ориентировочной протяженностью 149 км (2х74,5 км), строительство ПС 220 кВ Чаянда трансформаторной мощностью 126 МВА (2х63 МВА)»</t>
  </si>
  <si>
    <t>ПС 220 кВ Чаянда, Республика Саха (Якутия)</t>
  </si>
  <si>
    <t xml:space="preserve">Заказчик: ПАО «Россети ФСК ЕЭС»                                               Подрядчик: ООО ПО «Радиан» 
664048, г. Иркутск, ул. Розы Люксембург, д. 184, оф. 342                                                   Тел. (3952) 444-657, (3952) 444-522             Исполнительный директор Трубников С.Н. </t>
  </si>
  <si>
    <t>241//ПО от 30.06.2023 доп солг. 1-3</t>
  </si>
  <si>
    <t>2469/1-023-СП от 24.08.2023              доп согл.1-2</t>
  </si>
  <si>
    <t>Выполнение электромонтажных и пусконаладочных работ на объекте ГПП-1 ПС 110 кВ титул 8500 «ПС 110 кВ АГХК» в рамках реализации проекта «Амурский газохимический комплекс (ГХК)»</t>
  </si>
  <si>
    <t>Р-223 от 13.02.2024</t>
  </si>
  <si>
    <t>Работы по замене дисковых затворов DN125 со сливом масла трансформатора ТРДЦН-100000/220-УХЛ1 №Y100904 на объекте ПС «Витим»</t>
  </si>
  <si>
    <t xml:space="preserve">Заказчик: ООО "Полюс Сухой Лог" 
666904, Иркутская обл., г. Бодайбо, ул. Мира зд.4, помещ. 205                                                                  Подрядчик: ООО «Воронежский Трансформатор»                                            394056, г. Воронеж, ул. Солдатское поле, стр. 299 р                                                      Директор по закупкам и логистике Лесняк М.В. 
</t>
  </si>
  <si>
    <t>Хабаровская ТЭЦ, г. Хабаровск</t>
  </si>
  <si>
    <t>112Д-70П-3012 от 21.03.2023</t>
  </si>
  <si>
    <t>Работы по монтажу трансформатора на Хабаровской ТЭЦ</t>
  </si>
  <si>
    <t xml:space="preserve">Заказчик: АО "Дальневосточная генерирующая компания"                  Подрядчик: АО "Гидроэлектромонтаж" 
675000,г. Благовещенск, ул. Пионерская,204    
Генеральный директор Васильев В.А. </t>
  </si>
  <si>
    <t>Братский завод ферросплавов,                   г. Братск, Иркутская область</t>
  </si>
  <si>
    <t>186Д-70П-4010 от 25.04.2023</t>
  </si>
  <si>
    <t>Заказчик: ООО "Братский завод ферросплавов"
665716, Иркутская обл., г. Братск,                           П 01 11 01 00, тел: (3953) 49-59-01
Управляющий директор Соколов С.Е.</t>
  </si>
  <si>
    <t>Сушка и очистка трансформаторного масла трансформатора ТРДН-63000/110/10 (2Т ПС-110 кВ ПГВ)</t>
  </si>
  <si>
    <t>197Д-70П-3012 от 25.05.2023</t>
  </si>
  <si>
    <t>Работы по повышению надежности работы электрооборудования Нерюнгринской ГРЭС</t>
  </si>
  <si>
    <t>13СП-7/21/2859-2023 от 13.04.2023</t>
  </si>
  <si>
    <t>Комплекс нефтеперерабатывающих и нефтехимических заводов в г. Нижнекамск, Республика Татарстан</t>
  </si>
  <si>
    <t>Заказчик: ПАО «Татнефть» им. В.Д. Шашина Подрядчик: ООО «Гидроэлектромонтаж»
Юридический адрес: 423800, Российская Федерация, Республика Татарстан, 
г. Набережные Челны, Тэцовский проезд, д. 58
Почтовый адрес: 423810, Республика Татарстан, город Набережные Челны, а/я 101 Директор Глухов В.А.</t>
  </si>
  <si>
    <t>Пусконаладочные работы систем АСДУЭ, АСТУЭ водоблока №4. тит. 177 секция 7670, а именно: РТП с контроллерной для тит. 177 (Водоблок №4) КНП и НХЗ АО «Танеко»</t>
  </si>
  <si>
    <t xml:space="preserve">ПС 110 кВ АГХК, Свободненский район, Амурская область </t>
  </si>
  <si>
    <t xml:space="preserve">ПС 500 кВ АГХК, Свободненский район, Амурская область </t>
  </si>
  <si>
    <t>2388-023-СП от 13.06.2023              доп согл.1</t>
  </si>
  <si>
    <t>Пусконаладочные работы на объекте ПС 500 кВ титул 8500 «ПС 500 кВ АГХК» в рамках реализации проекта «Амурский газохимический комплекс (ГХК)»</t>
  </si>
  <si>
    <t>220Д-111П-3010 от 08.06.2023</t>
  </si>
  <si>
    <t>Заказчик:  Общество с ограниченной ответственностью «Иркутская нефтяная компания» (ООО «ИНК»)                                   664000, г.Иркутск, пр. Большой Литейный, 4  Генеральный директор: Седых М.В.                                                Подрядчик: ООО «Байкальский электромонтажный завод» (ООО «БЭМЗ»)  666037, Иркутская область, м.р-н Шелеховский, г.п. Шелеховское, г. Шелехов, пр-кт Строителей и монтажников, 16А.
Телефон 7 (39550) 6-21-27                  Генеральный директор Ревякин А.В.</t>
  </si>
  <si>
    <t>101-22/185 от 14.08.2023</t>
  </si>
  <si>
    <t>Заказчик: Общество с ограниченной ответственностью «Торговый дом «ЕвроСибЭнерго»                 (ООО «ТД «ЕвроСибЭнерго»)                                  664007, Иркутская область, г. Иркутск,
ул. Рабочая, дом 22, офис 509
тел. 792-193, факс 792-266                    Заместитель генерального директора по экономике и финансам Лазарева М.А.</t>
  </si>
  <si>
    <t>Изготовление и монтаж гаража модульного для автомобиля в количестве 2 шт.</t>
  </si>
  <si>
    <t>Нежданинское золоторудное месторождение, Томпонский район, Республика Саха (Якутия)</t>
  </si>
  <si>
    <t>ЮВГК 2(03-1-0299) от 16.10.2023</t>
  </si>
  <si>
    <t>Комплекс работ (разработка документации, поставка оборудования, пусконаладочные работы) по синхронизации работы дизельной электростанции (ДЭС) и ПС 110 кВ Нежданинская</t>
  </si>
  <si>
    <t>10.2024</t>
  </si>
  <si>
    <t>Приемно-сдаточный пункт ООО "Саханефть"с подключением к НПС №12 трубопроводной системы "Восточная Сибирь-Тихий океан", Республика Саха (Якутия)</t>
  </si>
  <si>
    <t>Гараж модульный  для ООО "Иркутские коммунальные системы", п. Железногорск-Илимский, Иркутская область</t>
  </si>
  <si>
    <t>ПС 220 кВ Коршуниха, Иркутская область</t>
  </si>
  <si>
    <t xml:space="preserve">Выполнение строительно-монтажных работ по титулу: "Строительство ВЛ 110 кВ Коршуниха-Хребтовая №2 от ПС 220 кВ Коршуниха до ПС 110 кВ Хребтовая тяговая. Протяженность ВЛ 110 кВ - 23 км." Установка ячейки 110 кВ на ПС 220 кВ Коршуниха </t>
  </si>
  <si>
    <t>Строительство объекта на условиях "под ключ": поставка оборудования, строительно-монтажные, пусконаладочные работы по объекту капитального строительства ПС 220/35/10 кВ «Удоканский ГМК» I этап</t>
  </si>
  <si>
    <t xml:space="preserve">Заказчик МАУК «Дворец искусств города Братска»                                                       665709, Иркутская обл., г. Братск, ул. Наймушина,26.
Тел. 8 (3953) 376000                                                 Директор Крампит О.В.
</t>
  </si>
  <si>
    <t xml:space="preserve">Изготовление, поставка и монтаж блочно-модульного здания, работы по монтажу инженерных сетей: системы вентиляции и кондиционирования; сети сигнализации и связи; системы электроснабжения </t>
  </si>
  <si>
    <t>Опыт выполнения строительно-монтажных работ за период с 2008 по 2025 гг.</t>
  </si>
  <si>
    <t>Строительство  ПС 35/10 кВ «КС-2К» (2*6,3МВА), ВЛ 35 кВ  «Салтыково - «КС-2К» (12км), отпаечной ВЛ 35 кВ от ВЛ 35 кВ  «Салтыково-Петропавловск» (2км), реконструкция: ПС 35/10 кВ «Салтыково» (1ячейка)», в части строительства ПС «КС-2К» и реконструкции ПС «Салтыково»</t>
  </si>
  <si>
    <t>6-СЭС-2024-ОКС-ц    от 06.06.2024           доп.согл 1</t>
  </si>
  <si>
    <t>Выполнение строительно-монтажных, наладочных работ, поставка оборудования по объекту: О_С1 Строительство новой ПС 35/10 кВ (2*2,5 МВА); двух ВЛ 35 кВ от ПС 220 кВ Киренга до новой ПС 35 кВ (общей протяженностью 10,4 км); двух ВЛ 10 кВ ЛПУМГ-1,2 (общей протяженностью 9 км). Реконструкция ПС 220 кВ Киренга с установкой двух линейных ячеек 35 кВ для технологического присоединения ПАО "Газпром". Объем работ в части Строительства новой ПС 35/10 кВ (2*2,5 МВА); Реконструкция ПС 220 кВ Киренга с установкой двух линейных ячеек 35 кВ.</t>
  </si>
  <si>
    <t xml:space="preserve">7-СЭС-2025-ОКС-ц от 14.07.2025 </t>
  </si>
  <si>
    <t>07.2025</t>
  </si>
  <si>
    <t>ПС 220/35/10 кВ Столбово</t>
  </si>
  <si>
    <t>017/20-ВЭС-2024
от 21.10.2024
доп.согл 1-2</t>
  </si>
  <si>
    <t>Техническое обслуживание устройств РЗА и ПА присоединений 220-500 кВ на ПС 500 кВ Озерная</t>
  </si>
  <si>
    <t>06.2025</t>
  </si>
  <si>
    <t>156/ЗЭС-25
от 04.06.2025</t>
  </si>
  <si>
    <t>155/ЗЭС-25
от 04.06.2025</t>
  </si>
  <si>
    <t>Техническое обслуживание устройств РЗА и ПА оборудования 35-500 кВ на ПС Тайшет</t>
  </si>
  <si>
    <t>Работы по изготовлению и монтажу металлоконструкций кабельных конструкций на объекте Заказчика: "Смесительно-прессовое отделение (СПО). Участок производства "зелёных" анодов" (Код ИСР - 150402), 3-й этап строительства Тайшетской Анодной фабрики</t>
  </si>
  <si>
    <t>04.2024</t>
  </si>
  <si>
    <t>ПТР-Д-24-289 
от 18.04.2024
доп.согл 2-3</t>
  </si>
  <si>
    <t>ВЛ 220 кВ Сухой лог – Чёртово Корыто</t>
  </si>
  <si>
    <t>Выполнение комплекса работ по реконструкции ВЛ 220 кВ Пеледуй – Сухой лог №1 (№2) с образованием ВЛ 220 кВ Пеледуй – Чёртово корыто и ВЛ 220 кВ Сухой лог – Чёртово Корыто (для ТП энергопринимающих устройств АО «Тонода»)"</t>
  </si>
  <si>
    <t>02.2025</t>
  </si>
  <si>
    <t xml:space="preserve"> ПС 220 кВ Чертово Корыто</t>
  </si>
  <si>
    <t>Поставка  ПС 220 кВ Чертово Корыто</t>
  </si>
  <si>
    <t>ТН-24-25
от 13.03.2025</t>
  </si>
  <si>
    <t>03.2025</t>
  </si>
  <si>
    <t>Комплекс электромонтажных работ по устройству комплекса теплофикационной установки и автоматизации верхнего и нижнего уровня 2 этапа в рамках комплекса генпорядных работ по реализации проекта "Строительство Хабаровской ТЭЦ-4 с внеплощадочной инфраструктурой"</t>
  </si>
  <si>
    <t>09.2024</t>
  </si>
  <si>
    <t>Хабаровская ТЭЦ-4, г. Хабаровск</t>
  </si>
  <si>
    <t>3.02.2.03.1.2024.1110 от 18.09.2024</t>
  </si>
  <si>
    <t>08.2025</t>
  </si>
  <si>
    <t>Выполнение комплекса проектных и строительно-монтажных работ «под ключ» по объекту капитального строительства «Электроснабжение распределительного пункта 6 кВ РП-143 водозаборных сооружений о. Сосновый (Казачий) со стороны правого берега р. Енисей от ПС 35 кВ 117 «ЛПК»</t>
  </si>
  <si>
    <t>Б-1 от 21.08.2025</t>
  </si>
  <si>
    <t>РА 1(01-1-1255) 
от 14.02.2024
доп.согл 1-3</t>
  </si>
  <si>
    <t>PCON-0814-2024-000568 от 22.05.2024
доп.согл 3</t>
  </si>
  <si>
    <t>Строительно-монтажные, пусконаладочные работы и поставка оборудования по титулу "Строительство ПС 220 кВ Таборная с питающей ВЛ 220 кВ Золотинка-Таборная"</t>
  </si>
  <si>
    <t>09.2025</t>
  </si>
  <si>
    <t>Выполнение комплекса пусконаладочных работ по объектам ООО «Рудник Таборный»: «РТП 6/0,4 кВ «Горно-перерабатывающий комплекс. Промплощадка кучного выщелачивания (конвейер 257 и мобильные конвейеры)» и 2КТПНУ-1000/6/0,4 «Горно-перерабатывающий комплекс. Площадка рудоподготовки ТП6/0,4 кВ (Конвейер 256)»</t>
  </si>
  <si>
    <t>PCON-0814-2025-000252 от 05.09.2025</t>
  </si>
  <si>
    <t>Выполнение комплекса работ по строительству ПС 110/35 кВ "Промплощадка", включая: проектно-изыскательские работы по проведению инженерных изысканий и по разработке технической и сметной части проектной и рабочей документации, поставку материалов и оборудования, строительно-монтажные работы, пусконаладочные работы, ПД и РД</t>
  </si>
  <si>
    <t>18 от 08.08.2024</t>
  </si>
  <si>
    <t xml:space="preserve">Выполнение работ по проведению полного комплекса инженерных изысканий, разработке проектной и рабочей документации, прохождению негосударственной экспертизы результатов инженерных изысканий и проектной документации по объекту: ВЛ 110 кВ «Эльгауголь – Промплощадка» </t>
  </si>
  <si>
    <t>ДР-240/2024 
от 27.09.2024
доп. согл 1-2</t>
  </si>
  <si>
    <t>ДП-16/25 от 04.03.2025</t>
  </si>
  <si>
    <t>11.2025</t>
  </si>
  <si>
    <t>32СП-57/25 от 14.11.25</t>
  </si>
  <si>
    <t>Монтаж трансформаторов ТДН 10МВА 110 кВ (2шт) на объекте «Строительство ПС Пестрецы»</t>
  </si>
  <si>
    <t>04.2025</t>
  </si>
  <si>
    <t xml:space="preserve">Выполнение работ по консервации трансформаторного оборудования КПП расширяемой части БрАЗа </t>
  </si>
  <si>
    <t>9 от 01.04.2025</t>
  </si>
  <si>
    <t xml:space="preserve">09/10/2024/ГВЭС-11
от 09.10.2024 </t>
  </si>
  <si>
    <t>Монтаж, демонтаж силовых трансформаторов Т1 и Т7 в ЗРУ-35кВ, Инв. №: 911 Здание ЗРУ-35 кВ с шинным мостиком</t>
  </si>
  <si>
    <t>6/1 от 01.06.2025</t>
  </si>
  <si>
    <t>010/02/2025
от 14.02.2025</t>
  </si>
  <si>
    <t>Выполнение работ по вывозке рабочего колеса МП-1 на центральный склад Братской ГЭС на филиале ООО "ЭН+ГИДРО" "Братская ГЭС" в рамках объекта: "Гидротурбина 2. Инв. №БРГ_ 00040602. Техническое перевооружение Замена рабочего колеса Братской ГЭС ГА №2"</t>
  </si>
  <si>
    <t>Выполнение демонтажа и монтажа трансформаторов в количестве 6 шт., а также комплекс погрузочно-разгрузочных работ трансформаторов (в том числе такелажным способом) на объектах: «ГПП «Водоподъем-1», ГПП «Водоподъем-2», «ГПП-3 второй промышленной зоны» ПАО «Нижнекамскнефтехим»</t>
  </si>
  <si>
    <t>14СП-39/25 
от 01.07.2025</t>
  </si>
  <si>
    <t>Выполнение работ по демонтажу: медного трубопровода в количестве 38м, кабеля 500 кВ в количестве 186м, стальных конструкций в камере трансформатора в объеме 1,56 тн на объекте «Модернизация кабельных линий 500 кВ с заменой на кабельные линии 500 кВ с изоляцией из сшитого полиэтилена (3 этап)» филиала АО «Татэнерго» - Нижнекамская ГЭС</t>
  </si>
  <si>
    <t>16СП-32/25 
от 01.07.2025</t>
  </si>
  <si>
    <t>Капитальный ремонт трансформатора ТДЦ-125000/220 УХЛ1, ст. № 3 (Изготовитель: ZTR, зав.№ 158150, год выпуска 2006, инв.№70006170)</t>
  </si>
  <si>
    <t>278 от 05.06.2025</t>
  </si>
  <si>
    <t xml:space="preserve">101-22/348
от 17.09.2024
доп.согл 1 </t>
  </si>
  <si>
    <t>Поставка модульных зданий (гараж для автомобиля - 1 ед.)</t>
  </si>
  <si>
    <t>Замена трансформаторов тока на трансформаторе типа ТДЦН-160000/22 УХЛ1 зав. № 1521290, установленного на ПС 220 кВ "Витим", Иркутская область.</t>
  </si>
  <si>
    <t>17/03 
от 17.03.2025</t>
  </si>
  <si>
    <t>Комплекс услуг по разгрузке негабаритного груза (рабочее колесо турбины для Братской ГЭС) из самолета АН-124-100 в аэропорту г.Братска</t>
  </si>
  <si>
    <t>76Д-70П-4021
от 20.03.2025</t>
  </si>
  <si>
    <t>ПС 110 кВ Албазино, Хабаровский край</t>
  </si>
  <si>
    <t>Работы по строительству "под ключ" ПС 110 кВ Албазино</t>
  </si>
  <si>
    <t>10.2025</t>
  </si>
  <si>
    <t>12.2025</t>
  </si>
  <si>
    <t>Заказчик: ООО "Рудник Таборный"                       
Почтовый адрес: Российская Федерация 678100 Республика Саха (Якутия), Олекминский улус (район), г. Олекминск, ул. Бровина, 4а Представитель по доверенности: Снопок А.Ю.</t>
  </si>
  <si>
    <t xml:space="preserve">Тайшетская анодная фабрика, Иркутская область, г. Тайшет
</t>
  </si>
  <si>
    <t>ПС 220 кВ Таборная с питающей ВЛ 220 кВ Золотинка-Таборная, Республика Саха (Якутия)</t>
  </si>
  <si>
    <t>ПС 110/35 кВ Промплощадка, Республика Саха (Якутия)</t>
  </si>
  <si>
    <t>ВЛ 110 кВ «Эльгауголь – Промплощадка», Республика Саха (Якутия)</t>
  </si>
  <si>
    <t>Заказчик: АО «УК ГидроОГК»                       Генпордядчик: АО "Усть-СреднеканГЭСстрой"    680017, г.Хабаровск, ул. Ленина,57, лит А, пом.4. Директор филиала в Хабаровске Кузьмин А.Р.</t>
  </si>
  <si>
    <t>Заказчик: Общество с ограниченной ответственностью «Торговый дом «ЕвроСибЭнерго» (ООО «ТД «ЕвроСибЭнерго»)                                  664007, Иркутская область, г. Иркутск,
ул. Рабочая, дом 22, офис 509
тел. 792-193, факс 792-266                    Заместитель генерального директора по коммерции Вишняков А.В.</t>
  </si>
  <si>
    <t>Ветровая электрическая станция Гражданская ВЭС, предусматривающая установку ВЭУ с единичной максимальной мощностью 6,25 МВт в количестве 37 шт. в Самарской области.</t>
  </si>
  <si>
    <t>Заказчик: ООО "Четырнадцатый ветропарк ФРВ"                 Подрядчик: ООО Промэнергосервис                      644020, г. Омск, пр-т Карла Маркса, 89А, пом.1П  Директор Лило Д.В.</t>
  </si>
  <si>
    <t>Выполнение проектно-изыскательских работ по титулу "Реконструкция ПС 220/35/10 кВ Столбово с заменой трансформаторов мощностью 40 МВА на трансформаторы мощностью 63 МВА (прирост мощности 46 МВА)"
"Реконструкция ПС 220 кВ Столбово с расширением РУ 35 кВ (2 ячейки 35 кВ)"</t>
  </si>
  <si>
    <t>Гражданская ВЭС, Самарская область</t>
  </si>
  <si>
    <t>Братская ГЭС, г. Братск, Иркутская область</t>
  </si>
  <si>
    <t xml:space="preserve">Заказчик: Филиал ООО "ЭН+ ГИДРО" Братская ГЭС                                                                 665709, г. Братск, а/я 784
тел. (3953) 323 359
Директор филиала Стрелков Е.В. </t>
  </si>
  <si>
    <t>ТН-12-25
от 04.02.2025</t>
  </si>
  <si>
    <t>Заказчик: ООО «УК Полюс»                                 Покупатель: АО "Тонода"
Почтовый адрес: 
666904, Иркутская обл., Бодайбо г, Мира ул., дом №2, представитель по довереннности Верещагин А.И.</t>
  </si>
  <si>
    <t>Заказчик: ООО «УК Полюс»                                 Подрядчик: АО "Тонода"
Почтовый адрес: 
666904, Иркутская обл., Бодайбо г, Мира ул., дом №2, представитель по довереннности Верещагин А.И.</t>
  </si>
  <si>
    <t>Пусконаладочные работы оборудования  ТП 220/35/10 кВ 2х100 000 и 2х160 000 кВ Витим с целью электроснабжения потребилетей ГОК "Сухой ЛОГ"</t>
  </si>
  <si>
    <t>Заказчик: ООО "Полюс Сухой Лог"                               Подрядчик: ООО «ЦУП ЧЭАЗ»                                           123610, г.Москва, Краснопресненская набережная,12 под.3                                                               Генеральный директор Еремин О.И.</t>
  </si>
  <si>
    <t>ТП 220/35/10 кВ Витим, Иркутская область</t>
  </si>
  <si>
    <t>ПС 220 кВ Витим, Иркутская область</t>
  </si>
  <si>
    <t>Заказчик: АО "ПК ХК Электрозавод"                                         107023, г.Москва, ул. Электрозаводская,21  Генеральный директор Шунин А.В.</t>
  </si>
  <si>
    <t>Заказчик: ООО "Авиакомпания Волга-Днепр" 432072, Ульяновская область, г. Ульяновск, ул. Карбышева,14
Тел/факс: 59-00-60, 20-58-14                     Исполнительный президент Сидорин А.А.</t>
  </si>
  <si>
    <t>Братская ГЭС, Иркутская область, г. Братск</t>
  </si>
  <si>
    <t xml:space="preserve">ПС 500 кВ Озерная,                                  г.Тайшет, Иркутская область </t>
  </si>
  <si>
    <t>Заказчик: АО "Норильско-Таймырская энергетическая компания" (АО "НТЭК")                  РФ, 663305, Красноярский край, г. Норильск, ул. Ветеранов,19, тел.(3919) 431110                                         Подрядчик: АО Таймырское предприятие Гидроэлектромонтаж                                       663318, Красноярский край, г.Норильск , ул Проезд Михайличенко, д. 2, кв. 40
тел. +79135304660                                    Генеральный директор Сабитов М.М.</t>
  </si>
  <si>
    <t>Заказчик: АО Вилюйская ГЭС-3                         678196, Республика Саха (Якутия), Мирнинский улус, п. Светлый, ул. Воропая, 22А         Исполнительный директор Разыков Д.А.</t>
  </si>
  <si>
    <t>Вилюйская ГЭС-3, Республика Саха (Якутия)</t>
  </si>
  <si>
    <t xml:space="preserve">Заказчик: ПАО «СИБУР Холдинг»                                      Подрядчик: ООО ГЭМ 423810, Республика Татарстан, г. Набережные Челны, а/я 101         Директор Глухов В.А. </t>
  </si>
  <si>
    <t>Нижнекамскнефтехим, Республика Татарстан, г. Нижнекамск</t>
  </si>
  <si>
    <t>Нижнекамская ГЭС, Рестублика Татарстан</t>
  </si>
  <si>
    <t>РП 6 кВ РП-143 водозаборных сооружений о. Сосновый (Казачий), Касноярский край</t>
  </si>
  <si>
    <t>РТП 6/0,4 кВ и 2КТПНУ-1000/6/0,4 ООО «Рудник Таборный»</t>
  </si>
  <si>
    <t xml:space="preserve">Заказчик: АО «Татэнерго»                              Подрядчик: ООО ГЭМ                                    423810, Республика Татарстан, г. Набережные Челны, а/я 101                                           Директор Глухов В.А. </t>
  </si>
  <si>
    <t>ПС 110 кВ Пестрецы, Республика Татарстан</t>
  </si>
  <si>
    <t>Заказчик: АО «Сетевая компания», Республика Татарстан                                                Подрядчик: ООО ГЭМ                                    423810, Республика Татарстан, г. Набережные Челны, а/я 101                                                      Директор Глухов В.А.</t>
  </si>
  <si>
    <t>по наст.время</t>
  </si>
  <si>
    <t>Заказчик: ПАО Газпром                         Подрядчик: ОАО «Иркутская электросетевая компания»                                                          664033, г. Иркутск, ул. Лермонтова 257,            тел: (3952) 792-459, факс: (3952) 792-461 
Генеральный директор Конопелько Д.В.</t>
  </si>
  <si>
    <t xml:space="preserve">ПС 35/10 кВ (2*2,5 МВА) ЛПУМГ-1, реконструкция ПС 220 кВ Киренга, Иркутская область </t>
  </si>
  <si>
    <t>Заказчик:ПАО Газпром                         Подрядчик: ОАО "Иркутская электросетевая компания"                                                      664033, г. Иркутск, ул. Лермонтова 257,     Тел: (3952) 792-459 Факс: (3952) 792-461 
Генеральный директор Щекин А.И.</t>
  </si>
  <si>
    <t>ПС 35/10 кВ КС-2К, реконструкция ПС 35/10 кВ Салтыково, Иркутская область</t>
  </si>
  <si>
    <t>Заказчик: АО "УК ГидроОГК" 117393, г. Москва, ул. Архитектора Власова, д.51 Генеральный директор Миронов Ю.В.</t>
  </si>
  <si>
    <t>Заказчик: ПАО РУСАЛ БрАЗ                           Подрядчик: ООО "ТакелажТрансСервис"                           443083, г. Самара, ул. Победы, д.2, кв.24, а/я 507
Тел. 8-927-713-33-19, 8-927-733-39-87         Генеральный директор Мальковский А.С.</t>
  </si>
  <si>
    <t>Заказчик: ООО "Ресурсы Албазино" (входит в состав компании Полиметалл)                                                682640, Хабаровский край, г. Амурск, пр.Мира, 24А. Уполномоченный представитель: Толстых Г.Е.</t>
  </si>
  <si>
    <t>Заказчик: ООО "Эльгауголь"                                           678962, Республика Саха (Якутия), г. Нерюнгри, пр-т Лужников, 3/2, тел. (41147) 36-201                                               Представитель по доверенности: Бундуков О.В.</t>
  </si>
  <si>
    <t>Заказчик: АО «Иркутская электросетевая компания»
664033, г. Иркутск, ул. Лермонтова 257,        тел: (3952) 792-459, факс: (3952) 792-461
Филиал ОАО «Иркутская электросетевая компания» Западные электрические сети 
665253 г.Тулун, пер.Энергетиков 6 
Директор филиала Утюмов А.Е.</t>
  </si>
  <si>
    <t>Заказчик: АО «Иркутская электросетевая компания»
664033, г. Иркутск, ул. Лермонтова 257,        тел: (3952) 792-459, факс: (3952) 792-461
Филиал ОАО «Иркутская электросетевая компания» Западные электрические сети 
665253 г.Тулун, пер.Энергетиков 6 
Гл.инженер  Хромцов А.В.</t>
  </si>
  <si>
    <t>Заказчик: ООО "Эльгауголь"                                           678962, Республика Саха (Якутия), г. Нерюнгри, пр-т Лужников, 3/2, тел. (41147) 36-201                                           Представитель по доверенности: Бундуков О.В.          
Подрядчик: ООО «ИнвестСтройСервис»                                          
125167, г. Москва, вн.тер.г. муниципальный округ Хорошевский, пр-кт Ленинградский,   д. 47, стр. 2, помещ. 2/1, тел. (495) 012-00-30      
Генеральный директор Кация Л.Ю.</t>
  </si>
  <si>
    <t>Заказчик: АО "Иркутская электросетевая компания"                                                      664033, г. Иркутск, ул. Лермонтова 257,     Тел: (3952) 792-459 Факс: (3952) 792-461 
Генеральный директор Щекин А.И.
Филиал АО "Иркутская электросетевая компания" Восточные электрические сети
664047, Иркутская область, г. Иркутск, проезд Трудовой, 40
Тел./факс.: 8(395-2)794-859                                   Директор Воронин А.Н.</t>
  </si>
  <si>
    <t>ВЛ 35 кВ Угольная №1, Республика Саха (Якутия)</t>
  </si>
  <si>
    <t xml:space="preserve">Заказчик: ООО "Эльгауголь"                                           678962, Республика Саха (Якутия), г. Нерюнгри, пр-т Лужников, 3/2, тел. (41147) 36-201                                            Представитель по доверенности: Бундуков О.В.                                                          Подрядчик: ЗАО Электросетьпроект                           664033, г. Иркутск, ул. Фаворского, 5                Директор Волгин М.А.                   </t>
  </si>
  <si>
    <t>2454-2 от 01.12.2025</t>
  </si>
  <si>
    <t xml:space="preserve">Разработка рабочей документации по объекту ВЛ 35 кВ "Угольная №1" </t>
  </si>
  <si>
    <t>03.2026</t>
  </si>
  <si>
    <t>06.2026</t>
  </si>
  <si>
    <t>ПС 500 кВ Тайшет, г. Тайшет, Иркутская область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</si>
</sst>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р_._-;\-* #,##0.00_р_._-;_-* &quot;-&quot;??_р_._-;_-@_-"/>
  </numFmts>
  <fonts count="80" x14ac:knownFonts="1">
    <font>
      <sz val="11"/>
      <color theme="1"/>
      <name val="Calibri"/>
      <family val="2"/>
      <charset val="204"/>
      <scheme val="minor"/>
    </font>
    <font>
      <sz val="9"/>
      <color rgb="FF000000"/>
      <name val="Times New Roman"/>
      <family val="1"/>
      <charset val="204"/>
    </font>
    <font>
      <sz val="9"/>
      <color theme="1"/>
      <name val="Times New Roman"/>
      <family val="1"/>
      <charset val="204"/>
    </font>
    <font>
      <sz val="9"/>
      <name val="Times New Roman"/>
      <family val="1"/>
      <charset val="204"/>
    </font>
    <font>
      <sz val="9"/>
      <color rgb="FFFF0000"/>
      <name val="Times New Roman"/>
      <family val="1"/>
      <charset val="204"/>
    </font>
    <font>
      <sz val="7.5"/>
      <color rgb="FF000000"/>
      <name val="Times New Roman"/>
      <family val="1"/>
      <charset val="204"/>
    </font>
    <font>
      <sz val="8"/>
      <color theme="1"/>
      <name val="Times New Roman"/>
      <family val="1"/>
      <charset val="204"/>
    </font>
    <font>
      <sz val="10"/>
      <name val="Courier"/>
      <family val="1"/>
      <charset val="204"/>
    </font>
    <font>
      <sz val="10"/>
      <name val="Times New Roman"/>
      <family val="1"/>
      <charset val="204"/>
    </font>
    <font>
      <b/>
      <sz val="9"/>
      <color theme="1"/>
      <name val="Times New Roman"/>
      <family val="1"/>
      <charset val="204"/>
    </font>
    <font>
      <sz val="8"/>
      <color rgb="FF000000"/>
      <name val="Times New Roman"/>
      <family val="1"/>
      <charset val="204"/>
    </font>
    <font>
      <sz val="9"/>
      <color rgb="FFC00000"/>
      <name val="Times New Roman"/>
      <family val="1"/>
      <charset val="204"/>
    </font>
    <font>
      <sz val="8"/>
      <color rgb="FFC00000"/>
      <name val="Times New Roman"/>
      <family val="1"/>
      <charset val="204"/>
    </font>
    <font>
      <sz val="10"/>
      <color rgb="FFC00000"/>
      <name val="Times New Roman"/>
      <family val="1"/>
      <charset val="204"/>
    </font>
    <font>
      <sz val="8"/>
      <color rgb="FFFF0000"/>
      <name val="Times New Roman"/>
      <family val="1"/>
      <charset val="204"/>
    </font>
    <font>
      <b/>
      <sz val="9"/>
      <color rgb="FFC00000"/>
      <name val="Times New Roman"/>
      <family val="1"/>
      <charset val="204"/>
    </font>
    <font>
      <sz val="11"/>
      <color rgb="FF000000"/>
      <name val="Times New Roman"/>
      <family val="1"/>
      <charset val="204"/>
    </font>
    <font>
      <sz val="9"/>
      <color theme="8" tint="-0.249977111117893"/>
      <name val="Times New Roman"/>
      <family val="1"/>
      <charset val="204"/>
    </font>
    <font>
      <sz val="8"/>
      <color theme="8" tint="-0.249977111117893"/>
      <name val="Times New Roman"/>
      <family val="1"/>
      <charset val="204"/>
    </font>
    <font>
      <sz val="10"/>
      <color theme="8" tint="-0.249977111117893"/>
      <name val="Times New Roman"/>
      <family val="1"/>
      <charset val="204"/>
    </font>
    <font>
      <sz val="9"/>
      <color theme="4" tint="-0.249977111117893"/>
      <name val="Times New Roman"/>
      <family val="1"/>
      <charset val="204"/>
    </font>
    <font>
      <sz val="8"/>
      <color theme="4" tint="-0.249977111117893"/>
      <name val="Times New Roman"/>
      <family val="1"/>
      <charset val="204"/>
    </font>
    <font>
      <sz val="10"/>
      <color theme="4" tint="-0.249977111117893"/>
      <name val="Times New Roman"/>
      <family val="1"/>
      <charset val="204"/>
    </font>
    <font>
      <sz val="9"/>
      <color theme="4" tint="-0.499984740745262"/>
      <name val="Times New Roman"/>
      <family val="1"/>
      <charset val="204"/>
    </font>
    <font>
      <sz val="8"/>
      <color theme="4" tint="-0.499984740745262"/>
      <name val="Times New Roman"/>
      <family val="1"/>
      <charset val="204"/>
    </font>
    <font>
      <sz val="10"/>
      <color theme="4" tint="-0.499984740745262"/>
      <name val="Times New Roman"/>
      <family val="1"/>
      <charset val="204"/>
    </font>
    <font>
      <sz val="9"/>
      <color indexed="81"/>
      <name val="Tahoma"/>
      <family val="2"/>
      <charset val="204"/>
    </font>
    <font>
      <b/>
      <sz val="9"/>
      <color indexed="81"/>
      <name val="Tahoma"/>
      <family val="2"/>
      <charset val="204"/>
    </font>
    <font>
      <b/>
      <sz val="9"/>
      <color theme="4" tint="-0.249977111117893"/>
      <name val="Times New Roman"/>
      <family val="1"/>
      <charset val="204"/>
    </font>
    <font>
      <sz val="9"/>
      <color theme="2"/>
      <name val="Times New Roman"/>
      <family val="1"/>
      <charset val="204"/>
    </font>
    <font>
      <sz val="11"/>
      <color theme="1"/>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Cyr"/>
      <charset val="204"/>
    </font>
    <font>
      <sz val="8"/>
      <name val="Times New Roman"/>
      <family val="1"/>
      <charset val="204"/>
    </font>
    <font>
      <sz val="11"/>
      <name val="Times New Roman"/>
      <family val="1"/>
      <charset val="204"/>
    </font>
    <font>
      <sz val="11"/>
      <color indexed="8"/>
      <name val="Calibri"/>
      <family val="2"/>
      <charset val="204"/>
    </font>
    <font>
      <sz val="12"/>
      <color indexed="0"/>
      <name val="Arial"/>
      <family val="2"/>
      <charset val="204"/>
    </font>
    <font>
      <sz val="11"/>
      <color indexed="8"/>
      <name val="Calibri"/>
      <family val="2"/>
    </font>
    <font>
      <sz val="10"/>
      <name val="Arial"/>
      <family val="2"/>
      <charset val="204"/>
    </font>
    <font>
      <sz val="10"/>
      <name val="Arial Cyr"/>
      <family val="2"/>
      <charset val="204"/>
    </font>
    <font>
      <sz val="10"/>
      <color indexed="8"/>
      <name val="Arial"/>
      <family val="2"/>
      <charset val="204"/>
    </font>
    <font>
      <sz val="8"/>
      <name val="Verdana"/>
      <family val="2"/>
      <charset val="204"/>
    </font>
    <font>
      <sz val="8"/>
      <color indexed="64"/>
      <name val="Courier New"/>
      <family val="3"/>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8"/>
      <color theme="3"/>
      <name val="Cambria"/>
      <family val="2"/>
      <charset val="204"/>
    </font>
    <font>
      <sz val="11"/>
      <color theme="1"/>
      <name val="Calibri"/>
      <family val="2"/>
      <scheme val="minor"/>
    </font>
    <font>
      <sz val="7.5"/>
      <name val="Times New Roman"/>
      <family val="1"/>
      <charset val="204"/>
    </font>
    <font>
      <sz val="9"/>
      <color theme="6" tint="0.59999389629810485"/>
      <name val="Times New Roman"/>
      <family val="1"/>
      <charset val="204"/>
    </font>
    <font>
      <sz val="12"/>
      <name val="Times New Roman"/>
      <family val="1"/>
      <charset val="204"/>
    </font>
    <font>
      <b/>
      <sz val="9"/>
      <name val="Times New Roman"/>
      <family val="1"/>
      <charset val="204"/>
    </font>
    <font>
      <sz val="9"/>
      <color theme="5" tint="-0.499984740745262"/>
      <name val="Times New Roman"/>
      <family val="1"/>
      <charset val="204"/>
    </font>
  </fonts>
  <fills count="9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80449842829676199"/>
        <bgColor indexed="65"/>
      </patternFill>
    </fill>
    <fill>
      <patternFill patternType="solid">
        <fgColor theme="4" tint="0.80013428144169441"/>
        <bgColor indexed="65"/>
      </patternFill>
    </fill>
    <fill>
      <patternFill patternType="solid">
        <fgColor theme="5" tint="0.80449842829676199"/>
        <bgColor indexed="65"/>
      </patternFill>
    </fill>
    <fill>
      <patternFill patternType="solid">
        <fgColor theme="5" tint="0.80013428144169441"/>
        <bgColor indexed="65"/>
      </patternFill>
    </fill>
    <fill>
      <patternFill patternType="solid">
        <fgColor theme="6" tint="0.80449842829676199"/>
        <bgColor indexed="65"/>
      </patternFill>
    </fill>
    <fill>
      <patternFill patternType="solid">
        <fgColor theme="6" tint="0.80013428144169441"/>
        <bgColor indexed="65"/>
      </patternFill>
    </fill>
    <fill>
      <patternFill patternType="solid">
        <fgColor theme="7" tint="0.80449842829676199"/>
        <bgColor indexed="65"/>
      </patternFill>
    </fill>
    <fill>
      <patternFill patternType="solid">
        <fgColor theme="7" tint="0.80013428144169441"/>
        <bgColor indexed="65"/>
      </patternFill>
    </fill>
    <fill>
      <patternFill patternType="solid">
        <fgColor theme="8" tint="0.80449842829676199"/>
        <bgColor indexed="65"/>
      </patternFill>
    </fill>
    <fill>
      <patternFill patternType="solid">
        <fgColor theme="8" tint="0.80013428144169441"/>
        <bgColor indexed="65"/>
      </patternFill>
    </fill>
    <fill>
      <patternFill patternType="solid">
        <fgColor theme="9" tint="0.80449842829676199"/>
        <bgColor indexed="65"/>
      </patternFill>
    </fill>
    <fill>
      <patternFill patternType="solid">
        <fgColor theme="9" tint="0.80013428144169441"/>
        <bgColor indexed="65"/>
      </patternFill>
    </fill>
    <fill>
      <patternFill patternType="solid">
        <fgColor theme="4" tint="0.60451063570055241"/>
        <bgColor indexed="65"/>
      </patternFill>
    </fill>
    <fill>
      <patternFill patternType="solid">
        <fgColor theme="4" tint="0.60014648884548483"/>
        <bgColor indexed="65"/>
      </patternFill>
    </fill>
    <fill>
      <patternFill patternType="solid">
        <fgColor theme="5" tint="0.60451063570055241"/>
        <bgColor indexed="65"/>
      </patternFill>
    </fill>
    <fill>
      <patternFill patternType="solid">
        <fgColor theme="5" tint="0.60014648884548483"/>
        <bgColor indexed="65"/>
      </patternFill>
    </fill>
    <fill>
      <patternFill patternType="solid">
        <fgColor theme="6" tint="0.60451063570055241"/>
        <bgColor indexed="65"/>
      </patternFill>
    </fill>
    <fill>
      <patternFill patternType="solid">
        <fgColor theme="6" tint="0.60014648884548483"/>
        <bgColor indexed="65"/>
      </patternFill>
    </fill>
    <fill>
      <patternFill patternType="solid">
        <fgColor theme="7" tint="0.60451063570055241"/>
        <bgColor indexed="65"/>
      </patternFill>
    </fill>
    <fill>
      <patternFill patternType="solid">
        <fgColor theme="7" tint="0.60014648884548483"/>
        <bgColor indexed="65"/>
      </patternFill>
    </fill>
    <fill>
      <patternFill patternType="solid">
        <fgColor theme="8" tint="0.60451063570055241"/>
        <bgColor indexed="65"/>
      </patternFill>
    </fill>
    <fill>
      <patternFill patternType="solid">
        <fgColor theme="8" tint="0.60014648884548483"/>
        <bgColor indexed="65"/>
      </patternFill>
    </fill>
    <fill>
      <patternFill patternType="solid">
        <fgColor theme="9" tint="0.60451063570055241"/>
        <bgColor indexed="65"/>
      </patternFill>
    </fill>
    <fill>
      <patternFill patternType="solid">
        <fgColor theme="9" tint="0.60014648884548483"/>
        <bgColor indexed="65"/>
      </patternFill>
    </fill>
    <fill>
      <patternFill patternType="solid">
        <fgColor theme="4" tint="0.40449232459486678"/>
        <bgColor indexed="65"/>
      </patternFill>
    </fill>
    <fill>
      <patternFill patternType="solid">
        <fgColor theme="4" tint="0.4001281777397992"/>
        <bgColor indexed="65"/>
      </patternFill>
    </fill>
    <fill>
      <patternFill patternType="solid">
        <fgColor theme="5" tint="0.40449232459486678"/>
        <bgColor indexed="65"/>
      </patternFill>
    </fill>
    <fill>
      <patternFill patternType="solid">
        <fgColor theme="5" tint="0.4001281777397992"/>
        <bgColor indexed="65"/>
      </patternFill>
    </fill>
    <fill>
      <patternFill patternType="solid">
        <fgColor theme="6" tint="0.40449232459486678"/>
        <bgColor indexed="65"/>
      </patternFill>
    </fill>
    <fill>
      <patternFill patternType="solid">
        <fgColor theme="6" tint="0.4001281777397992"/>
        <bgColor indexed="65"/>
      </patternFill>
    </fill>
    <fill>
      <patternFill patternType="solid">
        <fgColor theme="7" tint="0.40449232459486678"/>
        <bgColor indexed="65"/>
      </patternFill>
    </fill>
    <fill>
      <patternFill patternType="solid">
        <fgColor theme="7" tint="0.4001281777397992"/>
        <bgColor indexed="65"/>
      </patternFill>
    </fill>
    <fill>
      <patternFill patternType="solid">
        <fgColor theme="8" tint="0.40449232459486678"/>
        <bgColor indexed="65"/>
      </patternFill>
    </fill>
    <fill>
      <patternFill patternType="solid">
        <fgColor theme="8" tint="0.4001281777397992"/>
        <bgColor indexed="65"/>
      </patternFill>
    </fill>
    <fill>
      <patternFill patternType="solid">
        <fgColor theme="9" tint="0.40449232459486678"/>
        <bgColor indexed="65"/>
      </patternFill>
    </fill>
    <fill>
      <patternFill patternType="solid">
        <fgColor theme="9" tint="0.4001281777397992"/>
        <bgColor indexed="65"/>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tint="0.50450148014770957"/>
      </bottom>
      <diagonal/>
    </border>
    <border>
      <left/>
      <right/>
      <top/>
      <bottom style="thick">
        <color theme="4" tint="0.50013733329264198"/>
      </bottom>
      <diagonal/>
    </border>
    <border>
      <left/>
      <right/>
      <top/>
      <bottom style="medium">
        <color theme="4" tint="0.40449232459486678"/>
      </bottom>
      <diagonal/>
    </border>
    <border>
      <left/>
      <right/>
      <top/>
      <bottom style="medium">
        <color theme="4" tint="0.4001281777397992"/>
      </bottom>
      <diagonal/>
    </border>
  </borders>
  <cellStyleXfs count="2976">
    <xf numFmtId="0" fontId="0" fillId="0" borderId="0"/>
    <xf numFmtId="0" fontId="7" fillId="0" borderId="0"/>
    <xf numFmtId="0" fontId="46" fillId="0" borderId="0"/>
    <xf numFmtId="0" fontId="30" fillId="59" borderId="0" applyNumberFormat="0" applyBorder="0" applyAlignment="0" applyProtection="0"/>
    <xf numFmtId="0" fontId="30" fillId="14" borderId="0" applyNumberFormat="0" applyBorder="0" applyAlignment="0" applyProtection="0"/>
    <xf numFmtId="0" fontId="30" fillId="59" borderId="0" applyNumberFormat="0" applyBorder="0" applyAlignment="0" applyProtection="0"/>
    <xf numFmtId="0" fontId="30" fillId="60" borderId="0" applyNumberFormat="0" applyBorder="0" applyAlignment="0" applyProtection="0"/>
    <xf numFmtId="0" fontId="30" fillId="59" borderId="0" applyNumberFormat="0" applyBorder="0" applyAlignment="0" applyProtection="0"/>
    <xf numFmtId="0" fontId="30" fillId="14" borderId="0" applyNumberFormat="0" applyBorder="0" applyAlignment="0" applyProtection="0"/>
    <xf numFmtId="0" fontId="30" fillId="59" borderId="0" applyNumberFormat="0" applyBorder="0" applyAlignment="0" applyProtection="0"/>
    <xf numFmtId="0" fontId="49" fillId="37" borderId="0" applyNumberFormat="0" applyBorder="0" applyAlignment="0" applyProtection="0"/>
    <xf numFmtId="0" fontId="30" fillId="59" borderId="0" applyNumberFormat="0" applyBorder="0" applyAlignment="0" applyProtection="0"/>
    <xf numFmtId="0" fontId="49" fillId="37" borderId="0" applyNumberFormat="0" applyBorder="0" applyAlignment="0" applyProtection="0"/>
    <xf numFmtId="0" fontId="30" fillId="59" borderId="0" applyNumberFormat="0" applyBorder="0" applyAlignment="0" applyProtection="0"/>
    <xf numFmtId="0" fontId="30" fillId="59" borderId="0" applyNumberFormat="0" applyBorder="0" applyAlignment="0" applyProtection="0"/>
    <xf numFmtId="0" fontId="30" fillId="59"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18"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1" borderId="0" applyNumberFormat="0" applyBorder="0" applyAlignment="0" applyProtection="0"/>
    <xf numFmtId="0" fontId="30" fillId="18" borderId="0" applyNumberFormat="0" applyBorder="0" applyAlignment="0" applyProtection="0"/>
    <xf numFmtId="0" fontId="30" fillId="61" borderId="0" applyNumberFormat="0" applyBorder="0" applyAlignment="0" applyProtection="0"/>
    <xf numFmtId="0" fontId="49" fillId="39" borderId="0" applyNumberFormat="0" applyBorder="0" applyAlignment="0" applyProtection="0"/>
    <xf numFmtId="0" fontId="30" fillId="61" borderId="0" applyNumberFormat="0" applyBorder="0" applyAlignment="0" applyProtection="0"/>
    <xf numFmtId="0" fontId="49" fillId="39"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2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3" borderId="0" applyNumberFormat="0" applyBorder="0" applyAlignment="0" applyProtection="0"/>
    <xf numFmtId="0" fontId="30" fillId="22" borderId="0" applyNumberFormat="0" applyBorder="0" applyAlignment="0" applyProtection="0"/>
    <xf numFmtId="0" fontId="30" fillId="63" borderId="0" applyNumberFormat="0" applyBorder="0" applyAlignment="0" applyProtection="0"/>
    <xf numFmtId="0" fontId="49" fillId="41" borderId="0" applyNumberFormat="0" applyBorder="0" applyAlignment="0" applyProtection="0"/>
    <xf numFmtId="0" fontId="30" fillId="63" borderId="0" applyNumberFormat="0" applyBorder="0" applyAlignment="0" applyProtection="0"/>
    <xf numFmtId="0" fontId="49" fillId="41"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5" borderId="0" applyNumberFormat="0" applyBorder="0" applyAlignment="0" applyProtection="0"/>
    <xf numFmtId="0" fontId="30" fillId="65" borderId="0" applyNumberFormat="0" applyBorder="0" applyAlignment="0" applyProtection="0"/>
    <xf numFmtId="0" fontId="30" fillId="26"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5" borderId="0" applyNumberFormat="0" applyBorder="0" applyAlignment="0" applyProtection="0"/>
    <xf numFmtId="0" fontId="30" fillId="26" borderId="0" applyNumberFormat="0" applyBorder="0" applyAlignment="0" applyProtection="0"/>
    <xf numFmtId="0" fontId="30" fillId="65" borderId="0" applyNumberFormat="0" applyBorder="0" applyAlignment="0" applyProtection="0"/>
    <xf numFmtId="0" fontId="49" fillId="42" borderId="0" applyNumberFormat="0" applyBorder="0" applyAlignment="0" applyProtection="0"/>
    <xf numFmtId="0" fontId="30" fillId="65" borderId="0" applyNumberFormat="0" applyBorder="0" applyAlignment="0" applyProtection="0"/>
    <xf numFmtId="0" fontId="49" fillId="42" borderId="0" applyNumberFormat="0" applyBorder="0" applyAlignment="0" applyProtection="0"/>
    <xf numFmtId="0" fontId="30" fillId="65" borderId="0" applyNumberFormat="0" applyBorder="0" applyAlignment="0" applyProtection="0"/>
    <xf numFmtId="0" fontId="30" fillId="65" borderId="0" applyNumberFormat="0" applyBorder="0" applyAlignment="0" applyProtection="0"/>
    <xf numFmtId="0" fontId="30" fillId="65"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30"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0" fontId="30" fillId="67" borderId="0" applyNumberFormat="0" applyBorder="0" applyAlignment="0" applyProtection="0"/>
    <xf numFmtId="0" fontId="30" fillId="30" borderId="0" applyNumberFormat="0" applyBorder="0" applyAlignment="0" applyProtection="0"/>
    <xf numFmtId="0" fontId="30" fillId="67" borderId="0" applyNumberFormat="0" applyBorder="0" applyAlignment="0" applyProtection="0"/>
    <xf numFmtId="0" fontId="49" fillId="43" borderId="0" applyNumberFormat="0" applyBorder="0" applyAlignment="0" applyProtection="0"/>
    <xf numFmtId="0" fontId="30" fillId="67" borderId="0" applyNumberFormat="0" applyBorder="0" applyAlignment="0" applyProtection="0"/>
    <xf numFmtId="0" fontId="49" fillId="43"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69" borderId="0" applyNumberFormat="0" applyBorder="0" applyAlignment="0" applyProtection="0"/>
    <xf numFmtId="0" fontId="30" fillId="69" borderId="0" applyNumberFormat="0" applyBorder="0" applyAlignment="0" applyProtection="0"/>
    <xf numFmtId="0" fontId="30" fillId="34" borderId="0" applyNumberFormat="0" applyBorder="0" applyAlignment="0" applyProtection="0"/>
    <xf numFmtId="0" fontId="30" fillId="69" borderId="0" applyNumberFormat="0" applyBorder="0" applyAlignment="0" applyProtection="0"/>
    <xf numFmtId="0" fontId="30" fillId="70" borderId="0" applyNumberFormat="0" applyBorder="0" applyAlignment="0" applyProtection="0"/>
    <xf numFmtId="0" fontId="30" fillId="69" borderId="0" applyNumberFormat="0" applyBorder="0" applyAlignment="0" applyProtection="0"/>
    <xf numFmtId="0" fontId="30" fillId="34" borderId="0" applyNumberFormat="0" applyBorder="0" applyAlignment="0" applyProtection="0"/>
    <xf numFmtId="0" fontId="30" fillId="69" borderId="0" applyNumberFormat="0" applyBorder="0" applyAlignment="0" applyProtection="0"/>
    <xf numFmtId="0" fontId="49" fillId="38" borderId="0" applyNumberFormat="0" applyBorder="0" applyAlignment="0" applyProtection="0"/>
    <xf numFmtId="0" fontId="30" fillId="69" borderId="0" applyNumberFormat="0" applyBorder="0" applyAlignment="0" applyProtection="0"/>
    <xf numFmtId="0" fontId="49" fillId="38" borderId="0" applyNumberFormat="0" applyBorder="0" applyAlignment="0" applyProtection="0"/>
    <xf numFmtId="0" fontId="30" fillId="69" borderId="0" applyNumberFormat="0" applyBorder="0" applyAlignment="0" applyProtection="0"/>
    <xf numFmtId="0" fontId="30" fillId="69" borderId="0" applyNumberFormat="0" applyBorder="0" applyAlignment="0" applyProtection="0"/>
    <xf numFmtId="0" fontId="30" fillId="69" borderId="0" applyNumberFormat="0" applyBorder="0" applyAlignment="0" applyProtection="0"/>
    <xf numFmtId="0" fontId="30" fillId="71" borderId="0" applyNumberFormat="0" applyBorder="0" applyAlignment="0" applyProtection="0"/>
    <xf numFmtId="0" fontId="30" fillId="71" borderId="0" applyNumberFormat="0" applyBorder="0" applyAlignment="0" applyProtection="0"/>
    <xf numFmtId="0" fontId="30" fillId="15" borderId="0" applyNumberFormat="0" applyBorder="0" applyAlignment="0" applyProtection="0"/>
    <xf numFmtId="0" fontId="30" fillId="71" borderId="0" applyNumberFormat="0" applyBorder="0" applyAlignment="0" applyProtection="0"/>
    <xf numFmtId="0" fontId="30" fillId="72" borderId="0" applyNumberFormat="0" applyBorder="0" applyAlignment="0" applyProtection="0"/>
    <xf numFmtId="0" fontId="30" fillId="71" borderId="0" applyNumberFormat="0" applyBorder="0" applyAlignment="0" applyProtection="0"/>
    <xf numFmtId="0" fontId="30" fillId="15" borderId="0" applyNumberFormat="0" applyBorder="0" applyAlignment="0" applyProtection="0"/>
    <xf numFmtId="0" fontId="30" fillId="71" borderId="0" applyNumberFormat="0" applyBorder="0" applyAlignment="0" applyProtection="0"/>
    <xf numFmtId="0" fontId="49" fillId="45" borderId="0" applyNumberFormat="0" applyBorder="0" applyAlignment="0" applyProtection="0"/>
    <xf numFmtId="0" fontId="30" fillId="71" borderId="0" applyNumberFormat="0" applyBorder="0" applyAlignment="0" applyProtection="0"/>
    <xf numFmtId="0" fontId="49" fillId="45" borderId="0" applyNumberFormat="0" applyBorder="0" applyAlignment="0" applyProtection="0"/>
    <xf numFmtId="0" fontId="30" fillId="71" borderId="0" applyNumberFormat="0" applyBorder="0" applyAlignment="0" applyProtection="0"/>
    <xf numFmtId="0" fontId="30" fillId="71" borderId="0" applyNumberFormat="0" applyBorder="0" applyAlignment="0" applyProtection="0"/>
    <xf numFmtId="0" fontId="30" fillId="71" borderId="0" applyNumberFormat="0" applyBorder="0" applyAlignment="0" applyProtection="0"/>
    <xf numFmtId="0" fontId="30" fillId="73" borderId="0" applyNumberFormat="0" applyBorder="0" applyAlignment="0" applyProtection="0"/>
    <xf numFmtId="0" fontId="30" fillId="73" borderId="0" applyNumberFormat="0" applyBorder="0" applyAlignment="0" applyProtection="0"/>
    <xf numFmtId="0" fontId="30" fillId="19" borderId="0" applyNumberFormat="0" applyBorder="0" applyAlignment="0" applyProtection="0"/>
    <xf numFmtId="0" fontId="30" fillId="73" borderId="0" applyNumberFormat="0" applyBorder="0" applyAlignment="0" applyProtection="0"/>
    <xf numFmtId="0" fontId="30" fillId="74" borderId="0" applyNumberFormat="0" applyBorder="0" applyAlignment="0" applyProtection="0"/>
    <xf numFmtId="0" fontId="30" fillId="73" borderId="0" applyNumberFormat="0" applyBorder="0" applyAlignment="0" applyProtection="0"/>
    <xf numFmtId="0" fontId="30" fillId="19" borderId="0" applyNumberFormat="0" applyBorder="0" applyAlignment="0" applyProtection="0"/>
    <xf numFmtId="0" fontId="30" fillId="73" borderId="0" applyNumberFormat="0" applyBorder="0" applyAlignment="0" applyProtection="0"/>
    <xf numFmtId="0" fontId="49" fillId="46" borderId="0" applyNumberFormat="0" applyBorder="0" applyAlignment="0" applyProtection="0"/>
    <xf numFmtId="0" fontId="30" fillId="73" borderId="0" applyNumberFormat="0" applyBorder="0" applyAlignment="0" applyProtection="0"/>
    <xf numFmtId="0" fontId="49" fillId="46" borderId="0" applyNumberFormat="0" applyBorder="0" applyAlignment="0" applyProtection="0"/>
    <xf numFmtId="0" fontId="30" fillId="73" borderId="0" applyNumberFormat="0" applyBorder="0" applyAlignment="0" applyProtection="0"/>
    <xf numFmtId="0" fontId="30" fillId="73" borderId="0" applyNumberFormat="0" applyBorder="0" applyAlignment="0" applyProtection="0"/>
    <xf numFmtId="0" fontId="30" fillId="73" borderId="0" applyNumberFormat="0" applyBorder="0" applyAlignment="0" applyProtection="0"/>
    <xf numFmtId="0" fontId="30" fillId="75" borderId="0" applyNumberFormat="0" applyBorder="0" applyAlignment="0" applyProtection="0"/>
    <xf numFmtId="0" fontId="30" fillId="75" borderId="0" applyNumberFormat="0" applyBorder="0" applyAlignment="0" applyProtection="0"/>
    <xf numFmtId="0" fontId="30" fillId="23" borderId="0" applyNumberFormat="0" applyBorder="0" applyAlignment="0" applyProtection="0"/>
    <xf numFmtId="0" fontId="30" fillId="75" borderId="0" applyNumberFormat="0" applyBorder="0" applyAlignment="0" applyProtection="0"/>
    <xf numFmtId="0" fontId="30" fillId="76" borderId="0" applyNumberFormat="0" applyBorder="0" applyAlignment="0" applyProtection="0"/>
    <xf numFmtId="0" fontId="30" fillId="75" borderId="0" applyNumberFormat="0" applyBorder="0" applyAlignment="0" applyProtection="0"/>
    <xf numFmtId="0" fontId="30" fillId="23" borderId="0" applyNumberFormat="0" applyBorder="0" applyAlignment="0" applyProtection="0"/>
    <xf numFmtId="0" fontId="30" fillId="75" borderId="0" applyNumberFormat="0" applyBorder="0" applyAlignment="0" applyProtection="0"/>
    <xf numFmtId="0" fontId="49" fillId="48" borderId="0" applyNumberFormat="0" applyBorder="0" applyAlignment="0" applyProtection="0"/>
    <xf numFmtId="0" fontId="30" fillId="75" borderId="0" applyNumberFormat="0" applyBorder="0" applyAlignment="0" applyProtection="0"/>
    <xf numFmtId="0" fontId="49" fillId="48" borderId="0" applyNumberFormat="0" applyBorder="0" applyAlignment="0" applyProtection="0"/>
    <xf numFmtId="0" fontId="30" fillId="75" borderId="0" applyNumberFormat="0" applyBorder="0" applyAlignment="0" applyProtection="0"/>
    <xf numFmtId="0" fontId="30" fillId="75" borderId="0" applyNumberFormat="0" applyBorder="0" applyAlignment="0" applyProtection="0"/>
    <xf numFmtId="0" fontId="30" fillId="75" borderId="0" applyNumberFormat="0" applyBorder="0" applyAlignment="0" applyProtection="0"/>
    <xf numFmtId="0" fontId="30" fillId="77" borderId="0" applyNumberFormat="0" applyBorder="0" applyAlignment="0" applyProtection="0"/>
    <xf numFmtId="0" fontId="30" fillId="77" borderId="0" applyNumberFormat="0" applyBorder="0" applyAlignment="0" applyProtection="0"/>
    <xf numFmtId="0" fontId="30" fillId="27" borderId="0" applyNumberFormat="0" applyBorder="0" applyAlignment="0" applyProtection="0"/>
    <xf numFmtId="0" fontId="30" fillId="77" borderId="0" applyNumberFormat="0" applyBorder="0" applyAlignment="0" applyProtection="0"/>
    <xf numFmtId="0" fontId="30" fillId="78" borderId="0" applyNumberFormat="0" applyBorder="0" applyAlignment="0" applyProtection="0"/>
    <xf numFmtId="0" fontId="30" fillId="77" borderId="0" applyNumberFormat="0" applyBorder="0" applyAlignment="0" applyProtection="0"/>
    <xf numFmtId="0" fontId="30" fillId="27" borderId="0" applyNumberFormat="0" applyBorder="0" applyAlignment="0" applyProtection="0"/>
    <xf numFmtId="0" fontId="30" fillId="77" borderId="0" applyNumberFormat="0" applyBorder="0" applyAlignment="0" applyProtection="0"/>
    <xf numFmtId="0" fontId="49" fillId="42" borderId="0" applyNumberFormat="0" applyBorder="0" applyAlignment="0" applyProtection="0"/>
    <xf numFmtId="0" fontId="30" fillId="77" borderId="0" applyNumberFormat="0" applyBorder="0" applyAlignment="0" applyProtection="0"/>
    <xf numFmtId="0" fontId="49" fillId="42" borderId="0" applyNumberFormat="0" applyBorder="0" applyAlignment="0" applyProtection="0"/>
    <xf numFmtId="0" fontId="30" fillId="77" borderId="0" applyNumberFormat="0" applyBorder="0" applyAlignment="0" applyProtection="0"/>
    <xf numFmtId="0" fontId="30" fillId="77" borderId="0" applyNumberFormat="0" applyBorder="0" applyAlignment="0" applyProtection="0"/>
    <xf numFmtId="0" fontId="30" fillId="77" borderId="0" applyNumberFormat="0" applyBorder="0" applyAlignment="0" applyProtection="0"/>
    <xf numFmtId="0" fontId="30" fillId="79" borderId="0" applyNumberFormat="0" applyBorder="0" applyAlignment="0" applyProtection="0"/>
    <xf numFmtId="0" fontId="30" fillId="79" borderId="0" applyNumberFormat="0" applyBorder="0" applyAlignment="0" applyProtection="0"/>
    <xf numFmtId="0" fontId="30" fillId="31" borderId="0" applyNumberFormat="0" applyBorder="0" applyAlignment="0" applyProtection="0"/>
    <xf numFmtId="0" fontId="30" fillId="79" borderId="0" applyNumberFormat="0" applyBorder="0" applyAlignment="0" applyProtection="0"/>
    <xf numFmtId="0" fontId="30" fillId="80" borderId="0" applyNumberFormat="0" applyBorder="0" applyAlignment="0" applyProtection="0"/>
    <xf numFmtId="0" fontId="30" fillId="79" borderId="0" applyNumberFormat="0" applyBorder="0" applyAlignment="0" applyProtection="0"/>
    <xf numFmtId="0" fontId="30" fillId="31" borderId="0" applyNumberFormat="0" applyBorder="0" applyAlignment="0" applyProtection="0"/>
    <xf numFmtId="0" fontId="30" fillId="79" borderId="0" applyNumberFormat="0" applyBorder="0" applyAlignment="0" applyProtection="0"/>
    <xf numFmtId="0" fontId="49" fillId="45" borderId="0" applyNumberFormat="0" applyBorder="0" applyAlignment="0" applyProtection="0"/>
    <xf numFmtId="0" fontId="30" fillId="79" borderId="0" applyNumberFormat="0" applyBorder="0" applyAlignment="0" applyProtection="0"/>
    <xf numFmtId="0" fontId="49" fillId="45" borderId="0" applyNumberFormat="0" applyBorder="0" applyAlignment="0" applyProtection="0"/>
    <xf numFmtId="0" fontId="30" fillId="79" borderId="0" applyNumberFormat="0" applyBorder="0" applyAlignment="0" applyProtection="0"/>
    <xf numFmtId="0" fontId="30" fillId="79" borderId="0" applyNumberFormat="0" applyBorder="0" applyAlignment="0" applyProtection="0"/>
    <xf numFmtId="0" fontId="30" fillId="79" borderId="0" applyNumberFormat="0" applyBorder="0" applyAlignment="0" applyProtection="0"/>
    <xf numFmtId="0" fontId="30" fillId="81" borderId="0" applyNumberFormat="0" applyBorder="0" applyAlignment="0" applyProtection="0"/>
    <xf numFmtId="0" fontId="30" fillId="81" borderId="0" applyNumberFormat="0" applyBorder="0" applyAlignment="0" applyProtection="0"/>
    <xf numFmtId="0" fontId="30" fillId="35" borderId="0" applyNumberFormat="0" applyBorder="0" applyAlignment="0" applyProtection="0"/>
    <xf numFmtId="0" fontId="30" fillId="81" borderId="0" applyNumberFormat="0" applyBorder="0" applyAlignment="0" applyProtection="0"/>
    <xf numFmtId="0" fontId="30" fillId="82" borderId="0" applyNumberFormat="0" applyBorder="0" applyAlignment="0" applyProtection="0"/>
    <xf numFmtId="0" fontId="30" fillId="81" borderId="0" applyNumberFormat="0" applyBorder="0" applyAlignment="0" applyProtection="0"/>
    <xf numFmtId="0" fontId="30" fillId="35" borderId="0" applyNumberFormat="0" applyBorder="0" applyAlignment="0" applyProtection="0"/>
    <xf numFmtId="0" fontId="30" fillId="81" borderId="0" applyNumberFormat="0" applyBorder="0" applyAlignment="0" applyProtection="0"/>
    <xf numFmtId="0" fontId="49" fillId="49" borderId="0" applyNumberFormat="0" applyBorder="0" applyAlignment="0" applyProtection="0"/>
    <xf numFmtId="0" fontId="30" fillId="81" borderId="0" applyNumberFormat="0" applyBorder="0" applyAlignment="0" applyProtection="0"/>
    <xf numFmtId="0" fontId="49" fillId="49" borderId="0" applyNumberFormat="0" applyBorder="0" applyAlignment="0" applyProtection="0"/>
    <xf numFmtId="0" fontId="30" fillId="81" borderId="0" applyNumberFormat="0" applyBorder="0" applyAlignment="0" applyProtection="0"/>
    <xf numFmtId="0" fontId="30" fillId="81" borderId="0" applyNumberFormat="0" applyBorder="0" applyAlignment="0" applyProtection="0"/>
    <xf numFmtId="0" fontId="30" fillId="81" borderId="0" applyNumberFormat="0" applyBorder="0" applyAlignment="0" applyProtection="0"/>
    <xf numFmtId="0" fontId="45" fillId="83" borderId="0" applyNumberFormat="0" applyBorder="0" applyAlignment="0" applyProtection="0"/>
    <xf numFmtId="0" fontId="45" fillId="83" borderId="0" applyNumberFormat="0" applyBorder="0" applyAlignment="0" applyProtection="0"/>
    <xf numFmtId="0" fontId="45" fillId="16" borderId="0" applyNumberFormat="0" applyBorder="0" applyAlignment="0" applyProtection="0"/>
    <xf numFmtId="0" fontId="45" fillId="83" borderId="0" applyNumberFormat="0" applyBorder="0" applyAlignment="0" applyProtection="0"/>
    <xf numFmtId="0" fontId="45" fillId="84" borderId="0" applyNumberFormat="0" applyBorder="0" applyAlignment="0" applyProtection="0"/>
    <xf numFmtId="0" fontId="45" fillId="83" borderId="0" applyNumberFormat="0" applyBorder="0" applyAlignment="0" applyProtection="0"/>
    <xf numFmtId="0" fontId="45" fillId="16" borderId="0" applyNumberFormat="0" applyBorder="0" applyAlignment="0" applyProtection="0"/>
    <xf numFmtId="0" fontId="45" fillId="83" borderId="0" applyNumberFormat="0" applyBorder="0" applyAlignment="0" applyProtection="0"/>
    <xf numFmtId="0" fontId="57" fillId="51" borderId="0" applyNumberFormat="0" applyBorder="0" applyAlignment="0" applyProtection="0"/>
    <xf numFmtId="0" fontId="45" fillId="83" borderId="0" applyNumberFormat="0" applyBorder="0" applyAlignment="0" applyProtection="0"/>
    <xf numFmtId="0" fontId="57" fillId="51" borderId="0" applyNumberFormat="0" applyBorder="0" applyAlignment="0" applyProtection="0"/>
    <xf numFmtId="0" fontId="45" fillId="83" borderId="0" applyNumberFormat="0" applyBorder="0" applyAlignment="0" applyProtection="0"/>
    <xf numFmtId="0" fontId="45" fillId="83" borderId="0" applyNumberFormat="0" applyBorder="0" applyAlignment="0" applyProtection="0"/>
    <xf numFmtId="0" fontId="45" fillId="83" borderId="0" applyNumberFormat="0" applyBorder="0" applyAlignment="0" applyProtection="0"/>
    <xf numFmtId="0" fontId="45" fillId="85" borderId="0" applyNumberFormat="0" applyBorder="0" applyAlignment="0" applyProtection="0"/>
    <xf numFmtId="0" fontId="45" fillId="85" borderId="0" applyNumberFormat="0" applyBorder="0" applyAlignment="0" applyProtection="0"/>
    <xf numFmtId="0" fontId="45" fillId="20" borderId="0" applyNumberFormat="0" applyBorder="0" applyAlignment="0" applyProtection="0"/>
    <xf numFmtId="0" fontId="45" fillId="85" borderId="0" applyNumberFormat="0" applyBorder="0" applyAlignment="0" applyProtection="0"/>
    <xf numFmtId="0" fontId="45" fillId="86" borderId="0" applyNumberFormat="0" applyBorder="0" applyAlignment="0" applyProtection="0"/>
    <xf numFmtId="0" fontId="45" fillId="85" borderId="0" applyNumberFormat="0" applyBorder="0" applyAlignment="0" applyProtection="0"/>
    <xf numFmtId="0" fontId="45" fillId="20" borderId="0" applyNumberFormat="0" applyBorder="0" applyAlignment="0" applyProtection="0"/>
    <xf numFmtId="0" fontId="45" fillId="85" borderId="0" applyNumberFormat="0" applyBorder="0" applyAlignment="0" applyProtection="0"/>
    <xf numFmtId="0" fontId="57" fillId="46" borderId="0" applyNumberFormat="0" applyBorder="0" applyAlignment="0" applyProtection="0"/>
    <xf numFmtId="0" fontId="45" fillId="85" borderId="0" applyNumberFormat="0" applyBorder="0" applyAlignment="0" applyProtection="0"/>
    <xf numFmtId="0" fontId="57" fillId="46" borderId="0" applyNumberFormat="0" applyBorder="0" applyAlignment="0" applyProtection="0"/>
    <xf numFmtId="0" fontId="45" fillId="85" borderId="0" applyNumberFormat="0" applyBorder="0" applyAlignment="0" applyProtection="0"/>
    <xf numFmtId="0" fontId="45" fillId="85" borderId="0" applyNumberFormat="0" applyBorder="0" applyAlignment="0" applyProtection="0"/>
    <xf numFmtId="0" fontId="45" fillId="85" borderId="0" applyNumberFormat="0" applyBorder="0" applyAlignment="0" applyProtection="0"/>
    <xf numFmtId="0" fontId="45" fillId="87" borderId="0" applyNumberFormat="0" applyBorder="0" applyAlignment="0" applyProtection="0"/>
    <xf numFmtId="0" fontId="45" fillId="87" borderId="0" applyNumberFormat="0" applyBorder="0" applyAlignment="0" applyProtection="0"/>
    <xf numFmtId="0" fontId="45" fillId="24" borderId="0" applyNumberFormat="0" applyBorder="0" applyAlignment="0" applyProtection="0"/>
    <xf numFmtId="0" fontId="45" fillId="87" borderId="0" applyNumberFormat="0" applyBorder="0" applyAlignment="0" applyProtection="0"/>
    <xf numFmtId="0" fontId="45" fillId="88" borderId="0" applyNumberFormat="0" applyBorder="0" applyAlignment="0" applyProtection="0"/>
    <xf numFmtId="0" fontId="45" fillId="87" borderId="0" applyNumberFormat="0" applyBorder="0" applyAlignment="0" applyProtection="0"/>
    <xf numFmtId="0" fontId="45" fillId="24" borderId="0" applyNumberFormat="0" applyBorder="0" applyAlignment="0" applyProtection="0"/>
    <xf numFmtId="0" fontId="45" fillId="87" borderId="0" applyNumberFormat="0" applyBorder="0" applyAlignment="0" applyProtection="0"/>
    <xf numFmtId="0" fontId="57" fillId="48" borderId="0" applyNumberFormat="0" applyBorder="0" applyAlignment="0" applyProtection="0"/>
    <xf numFmtId="0" fontId="45" fillId="87" borderId="0" applyNumberFormat="0" applyBorder="0" applyAlignment="0" applyProtection="0"/>
    <xf numFmtId="0" fontId="57" fillId="48" borderId="0" applyNumberFormat="0" applyBorder="0" applyAlignment="0" applyProtection="0"/>
    <xf numFmtId="0" fontId="45" fillId="87" borderId="0" applyNumberFormat="0" applyBorder="0" applyAlignment="0" applyProtection="0"/>
    <xf numFmtId="0" fontId="45" fillId="87" borderId="0" applyNumberFormat="0" applyBorder="0" applyAlignment="0" applyProtection="0"/>
    <xf numFmtId="0" fontId="45" fillId="87" borderId="0" applyNumberFormat="0" applyBorder="0" applyAlignment="0" applyProtection="0"/>
    <xf numFmtId="0" fontId="45" fillId="89" borderId="0" applyNumberFormat="0" applyBorder="0" applyAlignment="0" applyProtection="0"/>
    <xf numFmtId="0" fontId="45" fillId="89" borderId="0" applyNumberFormat="0" applyBorder="0" applyAlignment="0" applyProtection="0"/>
    <xf numFmtId="0" fontId="45" fillId="28" borderId="0" applyNumberFormat="0" applyBorder="0" applyAlignment="0" applyProtection="0"/>
    <xf numFmtId="0" fontId="45" fillId="89" borderId="0" applyNumberFormat="0" applyBorder="0" applyAlignment="0" applyProtection="0"/>
    <xf numFmtId="0" fontId="45" fillId="90" borderId="0" applyNumberFormat="0" applyBorder="0" applyAlignment="0" applyProtection="0"/>
    <xf numFmtId="0" fontId="45" fillId="89" borderId="0" applyNumberFormat="0" applyBorder="0" applyAlignment="0" applyProtection="0"/>
    <xf numFmtId="0" fontId="45" fillId="28" borderId="0" applyNumberFormat="0" applyBorder="0" applyAlignment="0" applyProtection="0"/>
    <xf numFmtId="0" fontId="45" fillId="89" borderId="0" applyNumberFormat="0" applyBorder="0" applyAlignment="0" applyProtection="0"/>
    <xf numFmtId="0" fontId="57" fillId="52" borderId="0" applyNumberFormat="0" applyBorder="0" applyAlignment="0" applyProtection="0"/>
    <xf numFmtId="0" fontId="45" fillId="89" borderId="0" applyNumberFormat="0" applyBorder="0" applyAlignment="0" applyProtection="0"/>
    <xf numFmtId="0" fontId="57" fillId="52" borderId="0" applyNumberFormat="0" applyBorder="0" applyAlignment="0" applyProtection="0"/>
    <xf numFmtId="0" fontId="45" fillId="89" borderId="0" applyNumberFormat="0" applyBorder="0" applyAlignment="0" applyProtection="0"/>
    <xf numFmtId="0" fontId="45" fillId="89" borderId="0" applyNumberFormat="0" applyBorder="0" applyAlignment="0" applyProtection="0"/>
    <xf numFmtId="0" fontId="45" fillId="89" borderId="0" applyNumberFormat="0" applyBorder="0" applyAlignment="0" applyProtection="0"/>
    <xf numFmtId="0" fontId="45" fillId="91" borderId="0" applyNumberFormat="0" applyBorder="0" applyAlignment="0" applyProtection="0"/>
    <xf numFmtId="0" fontId="45" fillId="91" borderId="0" applyNumberFormat="0" applyBorder="0" applyAlignment="0" applyProtection="0"/>
    <xf numFmtId="0" fontId="45" fillId="32" borderId="0" applyNumberFormat="0" applyBorder="0" applyAlignment="0" applyProtection="0"/>
    <xf numFmtId="0" fontId="45" fillId="91" borderId="0" applyNumberFormat="0" applyBorder="0" applyAlignment="0" applyProtection="0"/>
    <xf numFmtId="0" fontId="45" fillId="92" borderId="0" applyNumberFormat="0" applyBorder="0" applyAlignment="0" applyProtection="0"/>
    <xf numFmtId="0" fontId="45" fillId="91" borderId="0" applyNumberFormat="0" applyBorder="0" applyAlignment="0" applyProtection="0"/>
    <xf numFmtId="0" fontId="45" fillId="32" borderId="0" applyNumberFormat="0" applyBorder="0" applyAlignment="0" applyProtection="0"/>
    <xf numFmtId="0" fontId="45" fillId="91" borderId="0" applyNumberFormat="0" applyBorder="0" applyAlignment="0" applyProtection="0"/>
    <xf numFmtId="0" fontId="57" fillId="50" borderId="0" applyNumberFormat="0" applyBorder="0" applyAlignment="0" applyProtection="0"/>
    <xf numFmtId="0" fontId="45" fillId="91" borderId="0" applyNumberFormat="0" applyBorder="0" applyAlignment="0" applyProtection="0"/>
    <xf numFmtId="0" fontId="57" fillId="50" borderId="0" applyNumberFormat="0" applyBorder="0" applyAlignment="0" applyProtection="0"/>
    <xf numFmtId="0" fontId="45" fillId="91" borderId="0" applyNumberFormat="0" applyBorder="0" applyAlignment="0" applyProtection="0"/>
    <xf numFmtId="0" fontId="45" fillId="91" borderId="0" applyNumberFormat="0" applyBorder="0" applyAlignment="0" applyProtection="0"/>
    <xf numFmtId="0" fontId="45" fillId="91" borderId="0" applyNumberFormat="0" applyBorder="0" applyAlignment="0" applyProtection="0"/>
    <xf numFmtId="0" fontId="45" fillId="93" borderId="0" applyNumberFormat="0" applyBorder="0" applyAlignment="0" applyProtection="0"/>
    <xf numFmtId="0" fontId="45" fillId="93" borderId="0" applyNumberFormat="0" applyBorder="0" applyAlignment="0" applyProtection="0"/>
    <xf numFmtId="0" fontId="45" fillId="36" borderId="0" applyNumberFormat="0" applyBorder="0" applyAlignment="0" applyProtection="0"/>
    <xf numFmtId="0" fontId="45" fillId="93" borderId="0" applyNumberFormat="0" applyBorder="0" applyAlignment="0" applyProtection="0"/>
    <xf numFmtId="0" fontId="45" fillId="94" borderId="0" applyNumberFormat="0" applyBorder="0" applyAlignment="0" applyProtection="0"/>
    <xf numFmtId="0" fontId="45" fillId="93" borderId="0" applyNumberFormat="0" applyBorder="0" applyAlignment="0" applyProtection="0"/>
    <xf numFmtId="0" fontId="45" fillId="36" borderId="0" applyNumberFormat="0" applyBorder="0" applyAlignment="0" applyProtection="0"/>
    <xf numFmtId="0" fontId="45" fillId="93" borderId="0" applyNumberFormat="0" applyBorder="0" applyAlignment="0" applyProtection="0"/>
    <xf numFmtId="0" fontId="57" fillId="53" borderId="0" applyNumberFormat="0" applyBorder="0" applyAlignment="0" applyProtection="0"/>
    <xf numFmtId="0" fontId="45" fillId="93" borderId="0" applyNumberFormat="0" applyBorder="0" applyAlignment="0" applyProtection="0"/>
    <xf numFmtId="0" fontId="57" fillId="53" borderId="0" applyNumberFormat="0" applyBorder="0" applyAlignment="0" applyProtection="0"/>
    <xf numFmtId="0" fontId="45" fillId="93" borderId="0" applyNumberFormat="0" applyBorder="0" applyAlignment="0" applyProtection="0"/>
    <xf numFmtId="0" fontId="45" fillId="93" borderId="0" applyNumberFormat="0" applyBorder="0" applyAlignment="0" applyProtection="0"/>
    <xf numFmtId="0" fontId="45" fillId="93" borderId="0" applyNumberFormat="0" applyBorder="0" applyAlignment="0" applyProtection="0"/>
    <xf numFmtId="0" fontId="52" fillId="0" borderId="0"/>
    <xf numFmtId="0" fontId="8" fillId="0" borderId="1">
      <alignment horizontal="center"/>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5" fillId="13" borderId="0" applyNumberFormat="0" applyBorder="0" applyAlignment="0" applyProtection="0"/>
    <xf numFmtId="0" fontId="45" fillId="13" borderId="0" applyNumberFormat="0" applyBorder="0" applyAlignment="0" applyProtection="0"/>
    <xf numFmtId="0" fontId="45" fillId="13" borderId="0" applyNumberFormat="0" applyBorder="0" applyAlignment="0" applyProtection="0"/>
    <xf numFmtId="0" fontId="57" fillId="54"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57" fillId="55" borderId="0" applyNumberFormat="0" applyBorder="0" applyAlignment="0" applyProtection="0"/>
    <xf numFmtId="0" fontId="45" fillId="21" borderId="0" applyNumberFormat="0" applyBorder="0" applyAlignment="0" applyProtection="0"/>
    <xf numFmtId="0" fontId="45" fillId="21" borderId="0" applyNumberFormat="0" applyBorder="0" applyAlignment="0" applyProtection="0"/>
    <xf numFmtId="0" fontId="45" fillId="21" borderId="0" applyNumberFormat="0" applyBorder="0" applyAlignment="0" applyProtection="0"/>
    <xf numFmtId="0" fontId="57" fillId="56"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57" fillId="52"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57" fillId="50" borderId="0" applyNumberFormat="0" applyBorder="0" applyAlignment="0" applyProtection="0"/>
    <xf numFmtId="0" fontId="45" fillId="33" borderId="0" applyNumberFormat="0" applyBorder="0" applyAlignment="0" applyProtection="0"/>
    <xf numFmtId="0" fontId="45" fillId="33" borderId="0" applyNumberFormat="0" applyBorder="0" applyAlignment="0" applyProtection="0"/>
    <xf numFmtId="0" fontId="45" fillId="33" borderId="0" applyNumberFormat="0" applyBorder="0" applyAlignment="0" applyProtection="0"/>
    <xf numFmtId="0" fontId="57" fillId="57" borderId="0" applyNumberFormat="0" applyBorder="0" applyAlignment="0" applyProtection="0"/>
    <xf numFmtId="0" fontId="37" fillId="9" borderId="14" applyNumberFormat="0" applyAlignment="0" applyProtection="0"/>
    <xf numFmtId="0" fontId="37" fillId="9" borderId="14" applyNumberFormat="0" applyAlignment="0" applyProtection="0"/>
    <xf numFmtId="0" fontId="37" fillId="9" borderId="14" applyNumberFormat="0" applyAlignment="0" applyProtection="0"/>
    <xf numFmtId="0" fontId="58" fillId="38" borderId="20" applyNumberFormat="0" applyAlignment="0" applyProtection="0"/>
    <xf numFmtId="0" fontId="8" fillId="0" borderId="1">
      <alignment horizontal="center"/>
    </xf>
    <xf numFmtId="0" fontId="8" fillId="0" borderId="0">
      <alignment vertical="top"/>
    </xf>
    <xf numFmtId="0" fontId="38" fillId="10" borderId="15" applyNumberFormat="0" applyAlignment="0" applyProtection="0"/>
    <xf numFmtId="0" fontId="38" fillId="10" borderId="15" applyNumberFormat="0" applyAlignment="0" applyProtection="0"/>
    <xf numFmtId="0" fontId="38" fillId="10" borderId="15" applyNumberFormat="0" applyAlignment="0" applyProtection="0"/>
    <xf numFmtId="0" fontId="59" fillId="44" borderId="21" applyNumberFormat="0" applyAlignment="0" applyProtection="0"/>
    <xf numFmtId="0" fontId="39" fillId="10" borderId="14" applyNumberFormat="0" applyAlignment="0" applyProtection="0"/>
    <xf numFmtId="0" fontId="39" fillId="10" borderId="14" applyNumberFormat="0" applyAlignment="0" applyProtection="0"/>
    <xf numFmtId="0" fontId="39" fillId="10" borderId="14" applyNumberFormat="0" applyAlignment="0" applyProtection="0"/>
    <xf numFmtId="0" fontId="60" fillId="44" borderId="20" applyNumberFormat="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61" fillId="0" borderId="22" applyNumberFormat="0" applyFill="0" applyAlignment="0" applyProtection="0"/>
    <xf numFmtId="0" fontId="32" fillId="0" borderId="31" applyNumberFormat="0" applyFill="0" applyAlignment="0" applyProtection="0"/>
    <xf numFmtId="0" fontId="32" fillId="0" borderId="31" applyNumberFormat="0" applyFill="0" applyAlignment="0" applyProtection="0"/>
    <xf numFmtId="0" fontId="32" fillId="0" borderId="32" applyNumberFormat="0" applyFill="0" applyAlignment="0" applyProtection="0"/>
    <xf numFmtId="0" fontId="32" fillId="0" borderId="31" applyNumberFormat="0" applyFill="0" applyAlignment="0" applyProtection="0"/>
    <xf numFmtId="0" fontId="32" fillId="0" borderId="31" applyNumberFormat="0" applyFill="0" applyAlignment="0" applyProtection="0"/>
    <xf numFmtId="0" fontId="62" fillId="0" borderId="23" applyNumberFormat="0" applyFill="0" applyAlignment="0" applyProtection="0"/>
    <xf numFmtId="0" fontId="33" fillId="0" borderId="33" applyNumberFormat="0" applyFill="0" applyAlignment="0" applyProtection="0"/>
    <xf numFmtId="0" fontId="33" fillId="0" borderId="33" applyNumberFormat="0" applyFill="0" applyAlignment="0" applyProtection="0"/>
    <xf numFmtId="0" fontId="33" fillId="0" borderId="34" applyNumberFormat="0" applyFill="0" applyAlignment="0" applyProtection="0"/>
    <xf numFmtId="0" fontId="33" fillId="0" borderId="33" applyNumberFormat="0" applyFill="0" applyAlignment="0" applyProtection="0"/>
    <xf numFmtId="0" fontId="33" fillId="0" borderId="33" applyNumberFormat="0" applyFill="0" applyAlignment="0" applyProtection="0"/>
    <xf numFmtId="0" fontId="63" fillId="0" borderId="24"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3" fillId="0" borderId="0" applyNumberFormat="0" applyFill="0" applyBorder="0" applyAlignment="0" applyProtection="0"/>
    <xf numFmtId="0" fontId="46" fillId="0" borderId="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64" fillId="0" borderId="25" applyNumberFormat="0" applyFill="0" applyAlignment="0" applyProtection="0"/>
    <xf numFmtId="0" fontId="8" fillId="0" borderId="0">
      <alignment horizontal="right" vertical="top" wrapText="1"/>
    </xf>
    <xf numFmtId="0" fontId="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8" fillId="0" borderId="0"/>
    <xf numFmtId="0" fontId="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8" fillId="0" borderId="0"/>
    <xf numFmtId="0" fontId="41" fillId="11" borderId="17" applyNumberFormat="0" applyAlignment="0" applyProtection="0"/>
    <xf numFmtId="0" fontId="41" fillId="11" borderId="17" applyNumberFormat="0" applyAlignment="0" applyProtection="0"/>
    <xf numFmtId="0" fontId="41" fillId="11" borderId="17" applyNumberFormat="0" applyAlignment="0" applyProtection="0"/>
    <xf numFmtId="0" fontId="65" fillId="58" borderId="26" applyNumberFormat="0" applyAlignment="0" applyProtection="0"/>
    <xf numFmtId="0" fontId="52" fillId="0" borderId="1" applyBorder="0" applyAlignment="0">
      <alignment horizontal="center"/>
    </xf>
    <xf numFmtId="0" fontId="8" fillId="0" borderId="1">
      <alignment horizontal="center" wrapText="1"/>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6" fillId="0" borderId="0" applyNumberFormat="0" applyFill="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67" fillId="47"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9" fillId="0" borderId="0"/>
    <xf numFmtId="0" fontId="4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2" fillId="0" borderId="0"/>
    <xf numFmtId="0" fontId="52" fillId="0" borderId="0"/>
    <xf numFmtId="0" fontId="30" fillId="0" borderId="0"/>
    <xf numFmtId="0" fontId="46" fillId="0" borderId="0"/>
    <xf numFmtId="0" fontId="46" fillId="0" borderId="0"/>
    <xf numFmtId="0" fontId="50" fillId="0" borderId="0">
      <alignment horizontal="left" vertical="top" wrapText="1"/>
    </xf>
    <xf numFmtId="0" fontId="46" fillId="0" borderId="0"/>
    <xf numFmtId="0" fontId="74" fillId="0" borderId="0"/>
    <xf numFmtId="0" fontId="52" fillId="0" borderId="0"/>
    <xf numFmtId="0" fontId="52" fillId="0" borderId="0"/>
    <xf numFmtId="3" fontId="53" fillId="0" borderId="0"/>
    <xf numFmtId="0" fontId="49" fillId="0" borderId="0"/>
    <xf numFmtId="0" fontId="55" fillId="0" borderId="0">
      <alignment vertical="top"/>
      <protection locked="0"/>
    </xf>
    <xf numFmtId="0" fontId="74" fillId="0" borderId="0"/>
    <xf numFmtId="0" fontId="49" fillId="0" borderId="0"/>
    <xf numFmtId="0" fontId="52" fillId="0" borderId="0"/>
    <xf numFmtId="0" fontId="50" fillId="0" borderId="0">
      <alignment horizontal="left" vertical="top" wrapText="1"/>
    </xf>
    <xf numFmtId="0" fontId="50" fillId="0" borderId="0">
      <alignment horizontal="left" vertical="top" wrapText="1"/>
    </xf>
    <xf numFmtId="0" fontId="56" fillId="0" borderId="0"/>
    <xf numFmtId="0" fontId="46" fillId="0" borderId="0"/>
    <xf numFmtId="0" fontId="52" fillId="0" borderId="0"/>
    <xf numFmtId="0" fontId="50" fillId="0" borderId="0">
      <alignment horizontal="left" vertical="top" wrapText="1"/>
    </xf>
    <xf numFmtId="0" fontId="50" fillId="0" borderId="0">
      <alignment horizontal="left" vertical="top" wrapText="1"/>
    </xf>
    <xf numFmtId="0" fontId="50" fillId="0" borderId="0">
      <alignment horizontal="left" vertical="top" wrapText="1"/>
    </xf>
    <xf numFmtId="0" fontId="74" fillId="0" borderId="0"/>
    <xf numFmtId="0" fontId="54" fillId="0" borderId="0" applyNumberFormat="0"/>
    <xf numFmtId="0" fontId="30" fillId="0" borderId="0"/>
    <xf numFmtId="0" fontId="50" fillId="0" borderId="0">
      <alignment horizontal="left" vertical="top" wrapText="1"/>
    </xf>
    <xf numFmtId="0" fontId="52" fillId="0" borderId="0"/>
    <xf numFmtId="0" fontId="50" fillId="0" borderId="0">
      <alignment horizontal="left" vertical="top" wrapText="1"/>
    </xf>
    <xf numFmtId="0" fontId="74" fillId="0" borderId="0"/>
    <xf numFmtId="0" fontId="30" fillId="0" borderId="0"/>
    <xf numFmtId="0" fontId="55" fillId="0" borderId="0">
      <alignment vertical="top"/>
      <protection locked="0"/>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8" fillId="0" borderId="1">
      <alignment horizontal="center" wrapText="1"/>
    </xf>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68" fillId="39"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9" fillId="0" borderId="0" applyNumberFormat="0" applyFill="0" applyBorder="0" applyAlignment="0" applyProtection="0"/>
    <xf numFmtId="0" fontId="49" fillId="12" borderId="18" applyNumberFormat="0" applyFont="0" applyAlignment="0" applyProtection="0"/>
    <xf numFmtId="0" fontId="49" fillId="12" borderId="18" applyNumberFormat="0" applyFont="0" applyAlignment="0" applyProtection="0"/>
    <xf numFmtId="0" fontId="49" fillId="12" borderId="18" applyNumberFormat="0" applyFont="0" applyAlignment="0" applyProtection="0"/>
    <xf numFmtId="0" fontId="46" fillId="40" borderId="27" applyNumberFormat="0" applyFont="0" applyAlignment="0" applyProtection="0"/>
    <xf numFmtId="9" fontId="46" fillId="0" borderId="0" applyFont="0" applyFill="0" applyBorder="0" applyAlignment="0" applyProtection="0"/>
    <xf numFmtId="0" fontId="8" fillId="0" borderId="1">
      <alignment horizontal="center"/>
    </xf>
    <xf numFmtId="0" fontId="8" fillId="0" borderId="1">
      <alignment horizontal="center"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70" fillId="0" borderId="28"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71" fillId="0" borderId="0" applyNumberFormat="0" applyFill="0" applyBorder="0" applyAlignment="0" applyProtection="0"/>
    <xf numFmtId="0" fontId="8" fillId="0" borderId="0">
      <alignment horizontal="center"/>
    </xf>
    <xf numFmtId="0" fontId="52" fillId="0" borderId="0">
      <alignment horizontal="left" vertical="top"/>
    </xf>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9" fillId="0" borderId="0" applyFont="0" applyFill="0" applyBorder="0" applyAlignment="0" applyProtection="0"/>
    <xf numFmtId="164" fontId="52"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9" fillId="0" borderId="0" applyFont="0" applyFill="0" applyBorder="0" applyAlignment="0" applyProtection="0"/>
    <xf numFmtId="164" fontId="51"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0" fontId="8" fillId="0" borderId="0">
      <alignment horizontal="left" vertical="top"/>
    </xf>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72" fillId="41" borderId="0" applyNumberFormat="0" applyBorder="0" applyAlignment="0" applyProtection="0"/>
    <xf numFmtId="0" fontId="8" fillId="0" borderId="0"/>
  </cellStyleXfs>
  <cellXfs count="675">
    <xf numFmtId="0" fontId="0" fillId="0" borderId="0" xfId="0"/>
    <xf numFmtId="0" fontId="2" fillId="0" borderId="0" xfId="0" applyFont="1"/>
    <xf numFmtId="0" fontId="2" fillId="2" borderId="1" xfId="0" applyFont="1" applyFill="1" applyBorder="1" applyAlignment="1">
      <alignment horizontal="left" vertical="top" wrapText="1" indent="1"/>
    </xf>
    <xf numFmtId="0" fontId="1" fillId="0" borderId="1" xfId="0" applyFont="1" applyBorder="1" applyAlignment="1">
      <alignment horizontal="center" vertical="center"/>
    </xf>
    <xf numFmtId="49" fontId="2" fillId="0" borderId="1" xfId="0" applyNumberFormat="1" applyFont="1" applyFill="1" applyBorder="1" applyAlignment="1">
      <alignment horizontal="left" vertical="top" wrapText="1" indent="1"/>
    </xf>
    <xf numFmtId="0" fontId="2" fillId="2" borderId="6" xfId="0" applyFont="1" applyFill="1" applyBorder="1" applyAlignment="1">
      <alignment horizontal="left" vertical="top" wrapText="1" indent="3"/>
    </xf>
    <xf numFmtId="0" fontId="1" fillId="0" borderId="1" xfId="0" applyFont="1" applyBorder="1" applyAlignment="1">
      <alignment horizontal="center" vertical="center" wrapText="1"/>
    </xf>
    <xf numFmtId="49" fontId="2" fillId="0" borderId="2" xfId="0" applyNumberFormat="1" applyFont="1" applyBorder="1" applyAlignment="1">
      <alignment horizontal="left" vertical="top" wrapText="1" indent="1"/>
    </xf>
    <xf numFmtId="0" fontId="1" fillId="0" borderId="0" xfId="0" applyFont="1" applyAlignment="1">
      <alignment horizontal="center" vertical="center"/>
    </xf>
    <xf numFmtId="0" fontId="2" fillId="0" borderId="1" xfId="0" applyFont="1" applyBorder="1"/>
    <xf numFmtId="0" fontId="4" fillId="3" borderId="0" xfId="0" applyFont="1" applyFill="1" applyAlignment="1">
      <alignment horizontal="center" vertical="center"/>
    </xf>
    <xf numFmtId="49" fontId="1" fillId="0" borderId="1" xfId="0" applyNumberFormat="1" applyFont="1" applyBorder="1" applyAlignment="1">
      <alignment horizontal="center" vertical="top"/>
    </xf>
    <xf numFmtId="49" fontId="1" fillId="0" borderId="4" xfId="0" applyNumberFormat="1" applyFont="1" applyBorder="1" applyAlignment="1">
      <alignment horizontal="center" vertical="top"/>
    </xf>
    <xf numFmtId="3" fontId="1" fillId="0" borderId="4" xfId="0" applyNumberFormat="1" applyFont="1" applyBorder="1" applyAlignment="1">
      <alignment horizontal="center" vertical="top"/>
    </xf>
    <xf numFmtId="0" fontId="1" fillId="0" borderId="8" xfId="0" applyFont="1" applyBorder="1" applyAlignment="1">
      <alignment horizontal="center" vertical="center"/>
    </xf>
    <xf numFmtId="0" fontId="1" fillId="0" borderId="9" xfId="0" applyFont="1" applyBorder="1" applyAlignment="1">
      <alignment horizontal="center" vertical="center"/>
    </xf>
    <xf numFmtId="49" fontId="2" fillId="0" borderId="6" xfId="0" applyNumberFormat="1" applyFont="1" applyBorder="1" applyAlignment="1">
      <alignment horizontal="center" vertical="top"/>
    </xf>
    <xf numFmtId="49" fontId="2" fillId="0" borderId="4" xfId="0" applyNumberFormat="1" applyFont="1" applyBorder="1" applyAlignment="1">
      <alignment horizontal="center" vertical="top"/>
    </xf>
    <xf numFmtId="49" fontId="1" fillId="0" borderId="2" xfId="0" applyNumberFormat="1" applyFont="1" applyBorder="1" applyAlignment="1">
      <alignment horizontal="center" vertical="top"/>
    </xf>
    <xf numFmtId="49" fontId="1" fillId="0" borderId="6" xfId="0" applyNumberFormat="1" applyFont="1" applyBorder="1" applyAlignment="1">
      <alignment horizontal="center" vertical="top"/>
    </xf>
    <xf numFmtId="3" fontId="1" fillId="0" borderId="2" xfId="0" applyNumberFormat="1" applyFont="1" applyBorder="1" applyAlignment="1">
      <alignment horizontal="center" vertical="top"/>
    </xf>
    <xf numFmtId="3" fontId="1" fillId="0" borderId="6" xfId="0" applyNumberFormat="1" applyFont="1" applyBorder="1" applyAlignment="1">
      <alignment horizontal="center" vertical="top"/>
    </xf>
    <xf numFmtId="0" fontId="5" fillId="0" borderId="1" xfId="0" applyFont="1" applyBorder="1" applyAlignment="1">
      <alignment horizontal="center" vertical="center" wrapText="1"/>
    </xf>
    <xf numFmtId="0" fontId="2" fillId="2" borderId="4" xfId="0" applyFont="1" applyFill="1" applyBorder="1" applyAlignment="1">
      <alignment horizontal="left" vertical="top" wrapText="1" indent="1"/>
    </xf>
    <xf numFmtId="49" fontId="1" fillId="0" borderId="6"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2" borderId="2" xfId="0" applyFont="1" applyFill="1" applyBorder="1" applyAlignment="1">
      <alignment horizontal="left" vertical="top" wrapText="1" indent="1"/>
    </xf>
    <xf numFmtId="0" fontId="2" fillId="2" borderId="6" xfId="0" applyFont="1" applyFill="1" applyBorder="1" applyAlignment="1">
      <alignment horizontal="left" vertical="top" wrapText="1" indent="1"/>
    </xf>
    <xf numFmtId="0" fontId="1" fillId="0" borderId="6" xfId="0" applyFont="1" applyBorder="1" applyAlignment="1">
      <alignment horizontal="left" vertical="top" wrapText="1" indent="1"/>
    </xf>
    <xf numFmtId="0" fontId="1" fillId="0" borderId="4" xfId="0" applyFont="1" applyBorder="1" applyAlignment="1">
      <alignment horizontal="left" vertical="top" wrapText="1" indent="1"/>
    </xf>
    <xf numFmtId="49" fontId="2" fillId="0" borderId="6" xfId="0" applyNumberFormat="1" applyFont="1" applyBorder="1" applyAlignment="1">
      <alignment horizontal="left" vertical="top" wrapText="1" indent="1"/>
    </xf>
    <xf numFmtId="49" fontId="2" fillId="0" borderId="2" xfId="0" applyNumberFormat="1" applyFont="1" applyBorder="1" applyAlignment="1">
      <alignment horizontal="left" vertical="top" wrapText="1" indent="1"/>
    </xf>
    <xf numFmtId="0" fontId="1" fillId="0" borderId="4" xfId="0" applyFont="1" applyBorder="1" applyAlignment="1">
      <alignment horizontal="center" vertical="center"/>
    </xf>
    <xf numFmtId="49" fontId="2" fillId="0" borderId="5" xfId="0" applyNumberFormat="1" applyFont="1" applyBorder="1" applyAlignment="1">
      <alignment horizontal="left" vertical="top" wrapText="1" indent="1"/>
    </xf>
    <xf numFmtId="0" fontId="1" fillId="0" borderId="6" xfId="0" applyFont="1" applyBorder="1" applyAlignment="1">
      <alignment horizontal="center" vertical="center"/>
    </xf>
    <xf numFmtId="0" fontId="1" fillId="0" borderId="2" xfId="0" applyFont="1" applyBorder="1" applyAlignment="1">
      <alignment horizontal="center" vertical="center"/>
    </xf>
    <xf numFmtId="49" fontId="2" fillId="0" borderId="2" xfId="0" applyNumberFormat="1" applyFont="1" applyBorder="1" applyAlignment="1">
      <alignment horizontal="center" vertical="top" wrapText="1"/>
    </xf>
    <xf numFmtId="49" fontId="2" fillId="0" borderId="6"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2" fillId="2" borderId="2" xfId="0" applyFont="1" applyFill="1" applyBorder="1" applyAlignment="1">
      <alignment horizontal="left" vertical="top" wrapText="1" indent="1"/>
    </xf>
    <xf numFmtId="0" fontId="2" fillId="2" borderId="6" xfId="0" applyFont="1" applyFill="1" applyBorder="1" applyAlignment="1">
      <alignment horizontal="left" vertical="top" wrapText="1" indent="1"/>
    </xf>
    <xf numFmtId="49" fontId="2" fillId="0" borderId="2" xfId="0" applyNumberFormat="1" applyFont="1" applyBorder="1" applyAlignment="1">
      <alignment horizontal="left" vertical="center" wrapText="1" indent="1"/>
    </xf>
    <xf numFmtId="0" fontId="2" fillId="2" borderId="6" xfId="0" applyFont="1" applyFill="1" applyBorder="1" applyAlignment="1">
      <alignment horizontal="left" vertical="top" wrapText="1" indent="1"/>
    </xf>
    <xf numFmtId="0" fontId="1" fillId="0" borderId="6" xfId="0" applyFont="1" applyBorder="1" applyAlignment="1">
      <alignment horizontal="left" vertical="top" wrapText="1" indent="1"/>
    </xf>
    <xf numFmtId="49" fontId="2" fillId="0" borderId="6" xfId="0" applyNumberFormat="1" applyFont="1" applyBorder="1" applyAlignment="1">
      <alignment horizontal="left" vertical="top" wrapText="1" indent="1"/>
    </xf>
    <xf numFmtId="49" fontId="2" fillId="0" borderId="2" xfId="0" applyNumberFormat="1" applyFont="1" applyBorder="1" applyAlignment="1">
      <alignment horizontal="center" vertical="top"/>
    </xf>
    <xf numFmtId="49" fontId="1" fillId="0" borderId="2" xfId="0" applyNumberFormat="1" applyFont="1" applyBorder="1" applyAlignment="1">
      <alignment horizontal="center" vertical="top" wrapText="1"/>
    </xf>
    <xf numFmtId="49" fontId="2" fillId="0" borderId="2" xfId="0" applyNumberFormat="1" applyFont="1" applyBorder="1" applyAlignment="1">
      <alignment horizontal="center" vertical="center" wrapText="1"/>
    </xf>
    <xf numFmtId="0" fontId="3" fillId="0" borderId="6" xfId="1" applyFont="1" applyFill="1" applyBorder="1" applyAlignment="1" applyProtection="1">
      <alignment horizontal="left" vertical="center" wrapText="1"/>
    </xf>
    <xf numFmtId="0" fontId="1" fillId="0" borderId="6" xfId="0" applyFont="1" applyBorder="1" applyAlignment="1">
      <alignment horizontal="left" vertical="top" indent="1"/>
    </xf>
    <xf numFmtId="0" fontId="1" fillId="0" borderId="6" xfId="0" applyFont="1" applyBorder="1" applyAlignment="1">
      <alignment horizontal="left" vertical="top" wrapText="1" indent="1"/>
    </xf>
    <xf numFmtId="49" fontId="2" fillId="0" borderId="6" xfId="0" applyNumberFormat="1" applyFont="1" applyBorder="1" applyAlignment="1">
      <alignment horizontal="left" vertical="top" wrapText="1" indent="1"/>
    </xf>
    <xf numFmtId="49" fontId="2" fillId="0" borderId="2" xfId="0" applyNumberFormat="1" applyFont="1" applyBorder="1" applyAlignment="1">
      <alignment horizontal="center" vertical="center"/>
    </xf>
    <xf numFmtId="0" fontId="2" fillId="2" borderId="2" xfId="0" applyFont="1" applyFill="1" applyBorder="1" applyAlignment="1">
      <alignment horizontal="left" vertical="top" wrapText="1" indent="1"/>
    </xf>
    <xf numFmtId="0" fontId="2" fillId="2" borderId="6" xfId="0" applyFont="1" applyFill="1" applyBorder="1" applyAlignment="1">
      <alignment horizontal="left" vertical="top" wrapText="1" indent="1"/>
    </xf>
    <xf numFmtId="49" fontId="1" fillId="0" borderId="4" xfId="0" applyNumberFormat="1" applyFont="1" applyBorder="1" applyAlignment="1">
      <alignment horizontal="center" vertical="top" wrapText="1"/>
    </xf>
    <xf numFmtId="49" fontId="2" fillId="0" borderId="6" xfId="0" applyNumberFormat="1" applyFont="1" applyFill="1" applyBorder="1" applyAlignment="1">
      <alignment horizontal="center" vertical="top"/>
    </xf>
    <xf numFmtId="49" fontId="2" fillId="0" borderId="6" xfId="0" applyNumberFormat="1" applyFont="1" applyFill="1" applyBorder="1" applyAlignment="1">
      <alignment horizontal="left" vertical="top" wrapText="1" indent="1"/>
    </xf>
    <xf numFmtId="0" fontId="2" fillId="0" borderId="6" xfId="0" applyFont="1" applyFill="1" applyBorder="1" applyAlignment="1">
      <alignment horizontal="left" vertical="top" wrapText="1" indent="1"/>
    </xf>
    <xf numFmtId="0" fontId="1" fillId="0" borderId="6" xfId="0" applyFont="1" applyFill="1" applyBorder="1" applyAlignment="1">
      <alignment horizontal="center" vertical="center"/>
    </xf>
    <xf numFmtId="0" fontId="2" fillId="0" borderId="0" xfId="0" applyFont="1" applyFill="1"/>
    <xf numFmtId="49" fontId="2" fillId="0" borderId="6" xfId="0" applyNumberFormat="1" applyFont="1" applyBorder="1" applyAlignment="1">
      <alignment horizontal="center" vertical="top" wrapText="1"/>
    </xf>
    <xf numFmtId="0" fontId="2" fillId="0" borderId="0" xfId="0" applyFont="1" applyAlignment="1">
      <alignment wrapText="1"/>
    </xf>
    <xf numFmtId="49" fontId="1" fillId="0" borderId="7" xfId="0" applyNumberFormat="1" applyFont="1" applyBorder="1" applyAlignment="1">
      <alignment horizontal="center" vertical="top"/>
    </xf>
    <xf numFmtId="49" fontId="2" fillId="0" borderId="2" xfId="0" applyNumberFormat="1" applyFont="1" applyBorder="1" applyAlignment="1">
      <alignment horizontal="left" vertical="top" wrapText="1" indent="1"/>
    </xf>
    <xf numFmtId="49" fontId="2" fillId="0" borderId="2" xfId="0" applyNumberFormat="1" applyFont="1" applyBorder="1" applyAlignment="1">
      <alignment horizontal="left" vertical="top" wrapText="1" indent="1"/>
    </xf>
    <xf numFmtId="0" fontId="2" fillId="0" borderId="1" xfId="0" applyFont="1" applyFill="1" applyBorder="1" applyAlignment="1">
      <alignment horizontal="left" vertical="top" wrapText="1" indent="1"/>
    </xf>
    <xf numFmtId="49" fontId="2" fillId="0" borderId="2" xfId="0" applyNumberFormat="1" applyFont="1" applyBorder="1" applyAlignment="1">
      <alignment horizontal="left" vertical="top" wrapText="1" indent="1"/>
    </xf>
    <xf numFmtId="0" fontId="8" fillId="0" borderId="0" xfId="0" applyFont="1" applyFill="1"/>
    <xf numFmtId="0" fontId="8" fillId="0" borderId="0" xfId="0" applyFont="1" applyFill="1" applyAlignment="1">
      <alignment wrapText="1"/>
    </xf>
    <xf numFmtId="49" fontId="2" fillId="0" borderId="2" xfId="0" applyNumberFormat="1" applyFont="1" applyFill="1" applyBorder="1" applyAlignment="1">
      <alignment horizontal="left" vertical="top" wrapText="1" indent="1"/>
    </xf>
    <xf numFmtId="0" fontId="1" fillId="0" borderId="1" xfId="0" applyFont="1" applyBorder="1" applyAlignment="1">
      <alignment horizontal="left" vertical="top" wrapText="1" indent="1"/>
    </xf>
    <xf numFmtId="49" fontId="2" fillId="0" borderId="2" xfId="0" applyNumberFormat="1" applyFont="1" applyBorder="1" applyAlignment="1">
      <alignment horizontal="left" vertical="top" wrapText="1" indent="1"/>
    </xf>
    <xf numFmtId="0" fontId="2" fillId="2" borderId="6" xfId="0" applyFont="1" applyFill="1" applyBorder="1" applyAlignment="1">
      <alignment horizontal="left" vertical="top" wrapText="1" indent="1"/>
    </xf>
    <xf numFmtId="49" fontId="2" fillId="0" borderId="2" xfId="0" applyNumberFormat="1" applyFont="1" applyBorder="1" applyAlignment="1">
      <alignment horizontal="left" vertical="top" wrapText="1" indent="1"/>
    </xf>
    <xf numFmtId="49" fontId="2" fillId="0" borderId="4" xfId="0" applyNumberFormat="1" applyFont="1" applyFill="1" applyBorder="1" applyAlignment="1">
      <alignment horizontal="center" vertical="top"/>
    </xf>
    <xf numFmtId="0" fontId="1" fillId="0" borderId="4" xfId="0" applyFont="1" applyFill="1" applyBorder="1" applyAlignment="1">
      <alignment horizontal="left" vertical="top" wrapText="1" indent="1"/>
    </xf>
    <xf numFmtId="49" fontId="1" fillId="0" borderId="1" xfId="0" applyNumberFormat="1" applyFont="1" applyFill="1" applyBorder="1" applyAlignment="1">
      <alignment horizontal="center" vertical="top"/>
    </xf>
    <xf numFmtId="0" fontId="1" fillId="0" borderId="1" xfId="0" applyFont="1" applyFill="1" applyBorder="1" applyAlignment="1">
      <alignment horizontal="center" vertical="center"/>
    </xf>
    <xf numFmtId="0" fontId="1" fillId="0" borderId="4" xfId="0" applyFont="1" applyFill="1" applyBorder="1" applyAlignment="1">
      <alignment horizontal="left" vertical="top" wrapText="1" indent="1"/>
    </xf>
    <xf numFmtId="3" fontId="1" fillId="0" borderId="4" xfId="0" applyNumberFormat="1" applyFont="1" applyBorder="1" applyAlignment="1">
      <alignment horizontal="center" vertical="top"/>
    </xf>
    <xf numFmtId="0" fontId="1" fillId="0" borderId="4" xfId="0" applyFont="1" applyFill="1" applyBorder="1" applyAlignment="1">
      <alignment horizontal="left" vertical="top" wrapText="1" indent="1"/>
    </xf>
    <xf numFmtId="49" fontId="1" fillId="0" borderId="4" xfId="0" applyNumberFormat="1" applyFont="1" applyFill="1" applyBorder="1" applyAlignment="1">
      <alignment horizontal="center" vertical="top"/>
    </xf>
    <xf numFmtId="3" fontId="1" fillId="0" borderId="4" xfId="0" applyNumberFormat="1" applyFont="1" applyBorder="1" applyAlignment="1">
      <alignment horizontal="center" vertical="top"/>
    </xf>
    <xf numFmtId="0" fontId="2" fillId="2" borderId="4" xfId="0" applyFont="1" applyFill="1" applyBorder="1" applyAlignment="1">
      <alignment horizontal="left" vertical="top" wrapText="1" indent="1"/>
    </xf>
    <xf numFmtId="0" fontId="1" fillId="0" borderId="4" xfId="0" applyFont="1" applyFill="1" applyBorder="1" applyAlignment="1">
      <alignment horizontal="left" vertical="top" wrapText="1" indent="1"/>
    </xf>
    <xf numFmtId="3" fontId="1" fillId="0" borderId="4" xfId="0" applyNumberFormat="1" applyFont="1" applyBorder="1" applyAlignment="1">
      <alignment horizontal="center" vertical="top"/>
    </xf>
    <xf numFmtId="49" fontId="2" fillId="0" borderId="2" xfId="0" applyNumberFormat="1" applyFont="1" applyBorder="1" applyAlignment="1">
      <alignment horizontal="left" vertical="top" wrapText="1" indent="1"/>
    </xf>
    <xf numFmtId="3" fontId="1" fillId="0" borderId="4" xfId="0" applyNumberFormat="1" applyFont="1" applyBorder="1" applyAlignment="1">
      <alignment horizontal="center" vertical="top"/>
    </xf>
    <xf numFmtId="49" fontId="2" fillId="0" borderId="2" xfId="0" applyNumberFormat="1" applyFont="1" applyBorder="1" applyAlignment="1">
      <alignment horizontal="left" vertical="top" wrapText="1" indent="1"/>
    </xf>
    <xf numFmtId="0" fontId="2" fillId="2" borderId="2" xfId="0" applyFont="1" applyFill="1" applyBorder="1" applyAlignment="1">
      <alignment horizontal="left" vertical="top" wrapText="1" indent="1"/>
    </xf>
    <xf numFmtId="0" fontId="2" fillId="2" borderId="6" xfId="0" applyFont="1" applyFill="1" applyBorder="1" applyAlignment="1">
      <alignment horizontal="left" vertical="top" wrapText="1" indent="1"/>
    </xf>
    <xf numFmtId="49" fontId="2" fillId="0" borderId="6"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49" fontId="2" fillId="0" borderId="2" xfId="0" applyNumberFormat="1" applyFont="1" applyBorder="1" applyAlignment="1">
      <alignment horizontal="left" vertical="top" wrapText="1" indent="1"/>
    </xf>
    <xf numFmtId="0" fontId="1" fillId="0" borderId="4" xfId="0" applyFont="1" applyFill="1" applyBorder="1" applyAlignment="1">
      <alignment horizontal="left" vertical="top" wrapText="1" indent="1"/>
    </xf>
    <xf numFmtId="3" fontId="1" fillId="0" borderId="2" xfId="0" applyNumberFormat="1" applyFont="1" applyBorder="1" applyAlignment="1">
      <alignment horizontal="center" vertical="top"/>
    </xf>
    <xf numFmtId="3" fontId="1" fillId="0" borderId="4" xfId="0" applyNumberFormat="1" applyFont="1" applyBorder="1" applyAlignment="1">
      <alignment horizontal="center" vertical="top"/>
    </xf>
    <xf numFmtId="0" fontId="1" fillId="0" borderId="4" xfId="0" applyFont="1" applyBorder="1" applyAlignment="1">
      <alignment horizontal="left" vertical="top" wrapText="1" indent="1"/>
    </xf>
    <xf numFmtId="0" fontId="2" fillId="2" borderId="2" xfId="0" applyFont="1" applyFill="1" applyBorder="1" applyAlignment="1">
      <alignment horizontal="left" vertical="top" wrapText="1" indent="1"/>
    </xf>
    <xf numFmtId="0" fontId="2" fillId="2" borderId="4" xfId="0" applyFont="1" applyFill="1" applyBorder="1" applyAlignment="1">
      <alignment horizontal="left" vertical="top" wrapText="1" indent="1"/>
    </xf>
    <xf numFmtId="3" fontId="1" fillId="0" borderId="2" xfId="0" applyNumberFormat="1" applyFont="1" applyBorder="1" applyAlignment="1">
      <alignment horizontal="center" vertical="top"/>
    </xf>
    <xf numFmtId="3" fontId="1" fillId="0" borderId="4" xfId="0" applyNumberFormat="1" applyFont="1" applyBorder="1" applyAlignment="1">
      <alignment horizontal="center" vertical="top"/>
    </xf>
    <xf numFmtId="0" fontId="2" fillId="2" borderId="6" xfId="0" applyFont="1" applyFill="1" applyBorder="1" applyAlignment="1">
      <alignment horizontal="left" vertical="top" wrapText="1" indent="1"/>
    </xf>
    <xf numFmtId="49" fontId="2" fillId="0" borderId="10" xfId="0" applyNumberFormat="1" applyFont="1" applyBorder="1" applyAlignment="1">
      <alignment horizontal="left" vertical="top" wrapText="1" indent="1"/>
    </xf>
    <xf numFmtId="49" fontId="2" fillId="0" borderId="9" xfId="0" applyNumberFormat="1" applyFont="1" applyBorder="1" applyAlignment="1">
      <alignment horizontal="left" vertical="top" wrapText="1" indent="1"/>
    </xf>
    <xf numFmtId="49" fontId="1" fillId="0" borderId="9" xfId="0" applyNumberFormat="1" applyFont="1" applyBorder="1" applyAlignment="1">
      <alignment horizontal="center" vertical="top"/>
    </xf>
    <xf numFmtId="49" fontId="2" fillId="0" borderId="3" xfId="0" applyNumberFormat="1" applyFont="1" applyBorder="1" applyAlignment="1">
      <alignment horizontal="left" vertical="top" wrapText="1" indent="1"/>
    </xf>
    <xf numFmtId="0" fontId="2" fillId="0" borderId="2" xfId="0" applyFont="1" applyFill="1" applyBorder="1" applyAlignment="1">
      <alignment horizontal="left" vertical="top" wrapText="1" indent="1"/>
    </xf>
    <xf numFmtId="0" fontId="2" fillId="0" borderId="4" xfId="0" applyFont="1" applyFill="1" applyBorder="1" applyAlignment="1">
      <alignment horizontal="left" vertical="top" wrapText="1" indent="1"/>
    </xf>
    <xf numFmtId="0" fontId="1" fillId="0" borderId="7" xfId="0" applyFont="1" applyBorder="1" applyAlignment="1">
      <alignment horizontal="center" vertical="center"/>
    </xf>
    <xf numFmtId="3" fontId="1" fillId="0" borderId="1" xfId="0" applyNumberFormat="1" applyFont="1" applyBorder="1" applyAlignment="1">
      <alignment horizontal="center" vertical="top"/>
    </xf>
    <xf numFmtId="49" fontId="2" fillId="0" borderId="1"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3" fontId="3" fillId="0" borderId="4" xfId="0" applyNumberFormat="1" applyFont="1" applyFill="1" applyBorder="1" applyAlignment="1">
      <alignment horizontal="center" vertical="top"/>
    </xf>
    <xf numFmtId="0" fontId="1" fillId="0" borderId="2" xfId="0" applyFont="1" applyBorder="1" applyAlignment="1">
      <alignment horizontal="left" vertical="top" wrapText="1" indent="1"/>
    </xf>
    <xf numFmtId="0" fontId="1" fillId="0" borderId="6" xfId="0" applyFont="1" applyBorder="1" applyAlignment="1">
      <alignment horizontal="left" vertical="top" wrapText="1" indent="1"/>
    </xf>
    <xf numFmtId="0" fontId="1" fillId="0" borderId="4" xfId="0" applyFont="1" applyBorder="1" applyAlignment="1">
      <alignment horizontal="left" vertical="top" wrapText="1" indent="1"/>
    </xf>
    <xf numFmtId="0" fontId="2" fillId="2" borderId="2" xfId="0" applyFont="1" applyFill="1" applyBorder="1" applyAlignment="1">
      <alignment horizontal="left" vertical="top" wrapText="1" indent="1"/>
    </xf>
    <xf numFmtId="0" fontId="2" fillId="2" borderId="6" xfId="0" applyFont="1" applyFill="1" applyBorder="1" applyAlignment="1">
      <alignment horizontal="left" vertical="top" wrapText="1" indent="1"/>
    </xf>
    <xf numFmtId="0" fontId="2" fillId="2" borderId="4" xfId="0" applyFont="1" applyFill="1" applyBorder="1" applyAlignment="1">
      <alignment horizontal="left" vertical="top" wrapText="1" indent="1"/>
    </xf>
    <xf numFmtId="0" fontId="1" fillId="0" borderId="2" xfId="0" applyFont="1" applyFill="1" applyBorder="1" applyAlignment="1">
      <alignment horizontal="left" vertical="top" wrapText="1" indent="1"/>
    </xf>
    <xf numFmtId="0" fontId="1" fillId="0" borderId="4" xfId="0" applyFont="1" applyFill="1" applyBorder="1" applyAlignment="1">
      <alignment horizontal="left" vertical="top" wrapText="1" indent="1"/>
    </xf>
    <xf numFmtId="0" fontId="1" fillId="0" borderId="6" xfId="0" applyFont="1" applyFill="1" applyBorder="1" applyAlignment="1">
      <alignment horizontal="left" vertical="top" wrapText="1" indent="1"/>
    </xf>
    <xf numFmtId="2" fontId="1" fillId="0" borderId="6" xfId="0" applyNumberFormat="1" applyFont="1" applyBorder="1" applyAlignment="1">
      <alignment horizontal="left" vertical="top" wrapText="1" indent="1"/>
    </xf>
    <xf numFmtId="49" fontId="2" fillId="0" borderId="2" xfId="0" applyNumberFormat="1" applyFont="1" applyBorder="1" applyAlignment="1">
      <alignment vertical="top" wrapText="1"/>
    </xf>
    <xf numFmtId="49" fontId="2" fillId="0" borderId="6" xfId="0" applyNumberFormat="1" applyFont="1" applyBorder="1" applyAlignment="1">
      <alignment vertical="top" wrapText="1"/>
    </xf>
    <xf numFmtId="49" fontId="2" fillId="0" borderId="4" xfId="0" applyNumberFormat="1" applyFont="1" applyBorder="1" applyAlignment="1">
      <alignment vertical="top" wrapText="1"/>
    </xf>
    <xf numFmtId="49" fontId="2" fillId="0" borderId="1" xfId="0" applyNumberFormat="1" applyFont="1" applyBorder="1" applyAlignment="1">
      <alignment horizontal="center" vertical="top"/>
    </xf>
    <xf numFmtId="49" fontId="2" fillId="0" borderId="1" xfId="0" applyNumberFormat="1" applyFont="1" applyBorder="1" applyAlignment="1">
      <alignment horizontal="left" vertical="top" wrapText="1" indent="1"/>
    </xf>
    <xf numFmtId="0" fontId="1" fillId="0" borderId="4" xfId="0" applyFont="1" applyBorder="1" applyAlignment="1">
      <alignment horizontal="left" vertical="top" indent="1"/>
    </xf>
    <xf numFmtId="0" fontId="1" fillId="0" borderId="1" xfId="0" applyFont="1" applyFill="1" applyBorder="1" applyAlignment="1">
      <alignment horizontal="left" vertical="top" wrapText="1" indent="1"/>
    </xf>
    <xf numFmtId="0" fontId="2" fillId="2" borderId="6" xfId="0" applyFont="1" applyFill="1" applyBorder="1" applyAlignment="1">
      <alignment horizontal="left" vertical="top" wrapText="1" indent="1"/>
    </xf>
    <xf numFmtId="2" fontId="1" fillId="0" borderId="9" xfId="0" applyNumberFormat="1" applyFont="1" applyBorder="1" applyAlignment="1">
      <alignment horizontal="left" vertical="top" wrapText="1" indent="1"/>
    </xf>
    <xf numFmtId="0" fontId="1" fillId="0" borderId="0" xfId="0" applyFont="1" applyAlignment="1">
      <alignment horizontal="left" vertical="center" indent="1"/>
    </xf>
    <xf numFmtId="0" fontId="1" fillId="0" borderId="1" xfId="0" applyFont="1" applyBorder="1" applyAlignment="1">
      <alignment horizontal="left" vertical="center" indent="1"/>
    </xf>
    <xf numFmtId="0" fontId="2" fillId="0" borderId="0" xfId="0" applyFont="1" applyAlignment="1">
      <alignment horizontal="left" indent="1"/>
    </xf>
    <xf numFmtId="0" fontId="1" fillId="0" borderId="6" xfId="0" applyFont="1" applyBorder="1" applyAlignment="1">
      <alignment horizontal="left" vertical="top" wrapText="1" indent="1"/>
    </xf>
    <xf numFmtId="0" fontId="1" fillId="0" borderId="4" xfId="0" applyFont="1" applyBorder="1" applyAlignment="1">
      <alignment horizontal="left" vertical="top" wrapText="1" indent="1"/>
    </xf>
    <xf numFmtId="0" fontId="1" fillId="0" borderId="6" xfId="0" applyFont="1" applyFill="1" applyBorder="1" applyAlignment="1">
      <alignment horizontal="left" vertical="top" wrapText="1" indent="1"/>
    </xf>
    <xf numFmtId="0" fontId="1" fillId="0" borderId="4" xfId="0" applyFont="1" applyFill="1" applyBorder="1" applyAlignment="1">
      <alignment horizontal="left" vertical="top" wrapText="1" indent="1"/>
    </xf>
    <xf numFmtId="0" fontId="2" fillId="2" borderId="2" xfId="0" applyFont="1" applyFill="1" applyBorder="1" applyAlignment="1">
      <alignment horizontal="left" vertical="top" wrapText="1" indent="1"/>
    </xf>
    <xf numFmtId="0" fontId="2" fillId="2" borderId="6" xfId="0" applyFont="1" applyFill="1" applyBorder="1" applyAlignment="1">
      <alignment horizontal="left" vertical="top" wrapText="1" indent="1"/>
    </xf>
    <xf numFmtId="0" fontId="1" fillId="0" borderId="0" xfId="0" applyFont="1" applyAlignment="1">
      <alignment horizontal="center" vertical="center"/>
    </xf>
    <xf numFmtId="0" fontId="1" fillId="0" borderId="1" xfId="0" applyFont="1" applyBorder="1" applyAlignment="1">
      <alignment horizontal="center" vertical="center" wrapText="1"/>
    </xf>
    <xf numFmtId="49" fontId="1" fillId="0" borderId="4" xfId="0" applyNumberFormat="1" applyFont="1" applyFill="1" applyBorder="1" applyAlignment="1">
      <alignment horizontal="center" vertical="top"/>
    </xf>
    <xf numFmtId="3" fontId="1" fillId="0" borderId="2" xfId="0" applyNumberFormat="1" applyFont="1" applyBorder="1" applyAlignment="1">
      <alignment horizontal="center" vertical="top"/>
    </xf>
    <xf numFmtId="3" fontId="1" fillId="0" borderId="4" xfId="0" applyNumberFormat="1" applyFont="1" applyBorder="1" applyAlignment="1">
      <alignment horizontal="center" vertical="top"/>
    </xf>
    <xf numFmtId="0" fontId="2" fillId="2" borderId="4" xfId="0" applyFont="1" applyFill="1" applyBorder="1" applyAlignment="1">
      <alignment horizontal="left" vertical="top" wrapText="1" indent="1"/>
    </xf>
    <xf numFmtId="49" fontId="2" fillId="4" borderId="6" xfId="0" applyNumberFormat="1" applyFont="1" applyFill="1" applyBorder="1" applyAlignment="1">
      <alignment horizontal="left" vertical="top" wrapText="1" indent="1"/>
    </xf>
    <xf numFmtId="0" fontId="1" fillId="0" borderId="6" xfId="0" applyFont="1" applyBorder="1" applyAlignment="1">
      <alignment horizontal="left" vertical="top" wrapText="1" indent="1"/>
    </xf>
    <xf numFmtId="0" fontId="2" fillId="2" borderId="6" xfId="0" applyFont="1" applyFill="1" applyBorder="1" applyAlignment="1">
      <alignment horizontal="left" vertical="top" wrapText="1" indent="1"/>
    </xf>
    <xf numFmtId="49" fontId="9" fillId="0" borderId="2" xfId="0" applyNumberFormat="1" applyFont="1" applyBorder="1" applyAlignment="1">
      <alignment horizontal="center" vertical="top" wrapText="1"/>
    </xf>
    <xf numFmtId="49" fontId="9" fillId="0" borderId="2" xfId="0" applyNumberFormat="1" applyFont="1" applyBorder="1" applyAlignment="1">
      <alignment horizontal="left" vertical="top" wrapText="1" indent="1"/>
    </xf>
    <xf numFmtId="0" fontId="9" fillId="0" borderId="2" xfId="0" applyFont="1" applyBorder="1" applyAlignment="1">
      <alignment horizontal="center" vertical="top" wrapText="1"/>
    </xf>
    <xf numFmtId="49" fontId="2" fillId="5" borderId="6" xfId="0" applyNumberFormat="1" applyFont="1" applyFill="1" applyBorder="1" applyAlignment="1">
      <alignment horizontal="left" vertical="top" wrapText="1" indent="1"/>
    </xf>
    <xf numFmtId="0" fontId="2" fillId="2" borderId="6" xfId="0" applyFont="1" applyFill="1" applyBorder="1" applyAlignment="1">
      <alignment horizontal="left" vertical="top" wrapText="1" indent="1"/>
    </xf>
    <xf numFmtId="49" fontId="9" fillId="0" borderId="2"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2" xfId="0" applyNumberFormat="1" applyFont="1" applyBorder="1" applyAlignment="1">
      <alignment horizontal="left" vertical="center" wrapText="1" indent="1"/>
    </xf>
    <xf numFmtId="49" fontId="9" fillId="0" borderId="2" xfId="0" applyNumberFormat="1" applyFont="1" applyBorder="1" applyAlignment="1">
      <alignment horizontal="center" vertical="top"/>
    </xf>
    <xf numFmtId="49" fontId="9" fillId="0" borderId="3" xfId="0" applyNumberFormat="1" applyFont="1" applyBorder="1" applyAlignment="1">
      <alignment horizontal="left" vertical="top" wrapText="1" indent="1"/>
    </xf>
    <xf numFmtId="0" fontId="1" fillId="0" borderId="6" xfId="0" applyFont="1" applyBorder="1" applyAlignment="1">
      <alignment horizontal="left" vertical="top" wrapText="1" indent="1"/>
    </xf>
    <xf numFmtId="49" fontId="2" fillId="5" borderId="6" xfId="0" applyNumberFormat="1" applyFont="1" applyFill="1" applyBorder="1" applyAlignment="1">
      <alignment horizontal="center" vertical="top"/>
    </xf>
    <xf numFmtId="0" fontId="2" fillId="2" borderId="6" xfId="0" applyFont="1" applyFill="1" applyBorder="1" applyAlignment="1">
      <alignment horizontal="left" vertical="top" wrapText="1" indent="1"/>
    </xf>
    <xf numFmtId="0" fontId="1" fillId="0" borderId="2" xfId="0" applyFont="1" applyBorder="1" applyAlignment="1">
      <alignment horizontal="left" vertical="top" wrapText="1" indent="1"/>
    </xf>
    <xf numFmtId="2" fontId="1" fillId="0" borderId="6" xfId="0" applyNumberFormat="1" applyFont="1" applyBorder="1" applyAlignment="1">
      <alignment horizontal="left" vertical="top" wrapText="1" indent="1"/>
    </xf>
    <xf numFmtId="0" fontId="2" fillId="2" borderId="6" xfId="0" applyFont="1" applyFill="1" applyBorder="1" applyAlignment="1">
      <alignment horizontal="left" vertical="top" wrapText="1" indent="1"/>
    </xf>
    <xf numFmtId="0" fontId="2" fillId="2" borderId="4" xfId="0" applyFont="1" applyFill="1" applyBorder="1" applyAlignment="1">
      <alignment horizontal="left" vertical="top" wrapText="1" indent="1"/>
    </xf>
    <xf numFmtId="0" fontId="10" fillId="0" borderId="0" xfId="0" applyFont="1" applyAlignment="1">
      <alignment horizontal="center" vertical="top"/>
    </xf>
    <xf numFmtId="0" fontId="10" fillId="0" borderId="1" xfId="0" applyFont="1" applyBorder="1" applyAlignment="1">
      <alignment horizontal="center" vertical="top"/>
    </xf>
    <xf numFmtId="0" fontId="6" fillId="2" borderId="2" xfId="0" applyFont="1" applyFill="1" applyBorder="1" applyAlignment="1">
      <alignment horizontal="center" vertical="top" wrapText="1"/>
    </xf>
    <xf numFmtId="0" fontId="6" fillId="2" borderId="6" xfId="0" applyFont="1" applyFill="1" applyBorder="1" applyAlignment="1">
      <alignment horizontal="center" vertical="top" wrapText="1"/>
    </xf>
    <xf numFmtId="0" fontId="10" fillId="0" borderId="6" xfId="0" applyFont="1" applyBorder="1" applyAlignment="1">
      <alignment horizontal="center" vertical="top" wrapText="1"/>
    </xf>
    <xf numFmtId="0" fontId="10" fillId="0" borderId="4" xfId="0" applyFont="1" applyBorder="1" applyAlignment="1">
      <alignment horizontal="center" vertical="top" wrapText="1"/>
    </xf>
    <xf numFmtId="0" fontId="10" fillId="0" borderId="2" xfId="0" applyFont="1" applyBorder="1" applyAlignment="1">
      <alignment horizontal="center" vertical="top" wrapText="1"/>
    </xf>
    <xf numFmtId="0" fontId="10" fillId="0" borderId="6" xfId="0" applyFont="1" applyFill="1" applyBorder="1" applyAlignment="1">
      <alignment horizontal="center" vertical="top" wrapText="1"/>
    </xf>
    <xf numFmtId="2" fontId="10" fillId="0" borderId="9" xfId="0" applyNumberFormat="1" applyFont="1" applyBorder="1" applyAlignment="1">
      <alignment horizontal="center" vertical="top" wrapText="1"/>
    </xf>
    <xf numFmtId="49" fontId="6" fillId="0" borderId="4" xfId="0" applyNumberFormat="1" applyFont="1" applyBorder="1" applyAlignment="1">
      <alignment horizontal="center" vertical="top" wrapText="1"/>
    </xf>
    <xf numFmtId="0" fontId="6" fillId="2" borderId="4" xfId="0" applyFont="1" applyFill="1" applyBorder="1" applyAlignment="1">
      <alignment horizontal="center" vertical="top" wrapText="1"/>
    </xf>
    <xf numFmtId="0" fontId="10" fillId="0" borderId="1" xfId="0" applyFont="1" applyBorder="1" applyAlignment="1">
      <alignment horizontal="center" vertical="top" wrapText="1"/>
    </xf>
    <xf numFmtId="0" fontId="10" fillId="0" borderId="4"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1" xfId="0" applyFont="1" applyFill="1" applyBorder="1" applyAlignment="1">
      <alignment horizontal="center" vertical="top" wrapText="1"/>
    </xf>
    <xf numFmtId="2" fontId="10" fillId="0" borderId="6" xfId="0" applyNumberFormat="1" applyFont="1" applyBorder="1" applyAlignment="1">
      <alignment horizontal="center" vertical="top" wrapText="1"/>
    </xf>
    <xf numFmtId="0" fontId="6" fillId="0" borderId="0" xfId="0" applyFont="1" applyAlignment="1">
      <alignment horizontal="center" vertical="top"/>
    </xf>
    <xf numFmtId="0" fontId="6" fillId="2" borderId="1" xfId="0" applyFont="1" applyFill="1" applyBorder="1" applyAlignment="1">
      <alignment horizontal="center" vertical="top" wrapText="1"/>
    </xf>
    <xf numFmtId="49" fontId="1" fillId="0" borderId="6" xfId="0" applyNumberFormat="1" applyFont="1" applyFill="1" applyBorder="1" applyAlignment="1">
      <alignment horizontal="center" vertical="top"/>
    </xf>
    <xf numFmtId="3" fontId="1" fillId="0" borderId="6" xfId="0" applyNumberFormat="1" applyFont="1" applyFill="1" applyBorder="1" applyAlignment="1">
      <alignment horizontal="center" vertical="top"/>
    </xf>
    <xf numFmtId="49" fontId="1" fillId="0" borderId="6" xfId="0" applyNumberFormat="1" applyFont="1" applyFill="1" applyBorder="1" applyAlignment="1">
      <alignment horizontal="center" vertical="top" wrapText="1"/>
    </xf>
    <xf numFmtId="0" fontId="2" fillId="0" borderId="6" xfId="0" applyFont="1" applyFill="1" applyBorder="1" applyAlignment="1">
      <alignment horizontal="left" vertical="top" wrapText="1" indent="3"/>
    </xf>
    <xf numFmtId="0" fontId="1" fillId="0" borderId="6" xfId="0" applyFont="1" applyFill="1" applyBorder="1" applyAlignment="1">
      <alignment horizontal="left" vertical="top" indent="1"/>
    </xf>
    <xf numFmtId="0" fontId="6" fillId="0" borderId="1" xfId="0" applyFont="1" applyFill="1" applyBorder="1" applyAlignment="1">
      <alignment horizontal="center" vertical="top" wrapText="1"/>
    </xf>
    <xf numFmtId="3" fontId="1" fillId="0" borderId="4" xfId="0" applyNumberFormat="1" applyFont="1" applyFill="1" applyBorder="1" applyAlignment="1">
      <alignment horizontal="center" vertical="top"/>
    </xf>
    <xf numFmtId="0" fontId="6" fillId="0" borderId="6" xfId="0" applyFont="1" applyFill="1" applyBorder="1" applyAlignment="1">
      <alignment horizontal="left" vertical="top" wrapText="1" indent="1"/>
    </xf>
    <xf numFmtId="3" fontId="1" fillId="0" borderId="1" xfId="0" applyNumberFormat="1" applyFont="1" applyFill="1" applyBorder="1" applyAlignment="1">
      <alignment horizontal="center" vertical="top"/>
    </xf>
    <xf numFmtId="3" fontId="1" fillId="0" borderId="2" xfId="0" applyNumberFormat="1" applyFont="1" applyFill="1" applyBorder="1" applyAlignment="1">
      <alignment horizontal="center" vertical="top"/>
    </xf>
    <xf numFmtId="0" fontId="6" fillId="0" borderId="1" xfId="0" applyFont="1" applyFill="1" applyBorder="1" applyAlignment="1">
      <alignment horizontal="left" vertical="top" wrapText="1" indent="1"/>
    </xf>
    <xf numFmtId="0" fontId="1" fillId="0" borderId="2" xfId="0" applyFont="1" applyFill="1" applyBorder="1" applyAlignment="1">
      <alignment horizontal="left" vertical="top" wrapText="1" indent="1"/>
    </xf>
    <xf numFmtId="0" fontId="1" fillId="0" borderId="4" xfId="0" applyFont="1" applyFill="1" applyBorder="1" applyAlignment="1">
      <alignment horizontal="left" vertical="top" wrapText="1" indent="1"/>
    </xf>
    <xf numFmtId="0" fontId="1" fillId="0" borderId="6" xfId="0" applyFont="1" applyFill="1" applyBorder="1" applyAlignment="1">
      <alignment horizontal="left" vertical="top" wrapText="1" indent="1"/>
    </xf>
    <xf numFmtId="49" fontId="1" fillId="0" borderId="2" xfId="0" applyNumberFormat="1" applyFont="1" applyFill="1" applyBorder="1" applyAlignment="1">
      <alignment horizontal="center" vertical="top"/>
    </xf>
    <xf numFmtId="49" fontId="1" fillId="0" borderId="4" xfId="0" applyNumberFormat="1" applyFont="1" applyFill="1" applyBorder="1" applyAlignment="1">
      <alignment horizontal="center" vertical="top"/>
    </xf>
    <xf numFmtId="0" fontId="2" fillId="0" borderId="2" xfId="0" applyFont="1" applyFill="1" applyBorder="1" applyAlignment="1">
      <alignment horizontal="left" vertical="top" wrapText="1" indent="1"/>
    </xf>
    <xf numFmtId="0" fontId="2" fillId="0" borderId="6" xfId="0" applyFont="1" applyFill="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6" xfId="0" applyNumberFormat="1" applyFont="1" applyFill="1" applyBorder="1" applyAlignment="1">
      <alignment horizontal="left" vertical="top" wrapText="1" indent="1"/>
    </xf>
    <xf numFmtId="49" fontId="2" fillId="0" borderId="2" xfId="0" applyNumberFormat="1" applyFont="1" applyFill="1" applyBorder="1" applyAlignment="1">
      <alignment horizontal="left" vertical="top" wrapText="1" indent="1"/>
    </xf>
    <xf numFmtId="49" fontId="2" fillId="0" borderId="9" xfId="0" applyNumberFormat="1" applyFont="1" applyFill="1" applyBorder="1" applyAlignment="1">
      <alignment horizontal="left" vertical="top" wrapText="1" indent="1"/>
    </xf>
    <xf numFmtId="0" fontId="2" fillId="0" borderId="0" xfId="0" applyFont="1" applyFill="1" applyBorder="1" applyAlignment="1">
      <alignment horizontal="left" vertical="top" wrapText="1" indent="1"/>
    </xf>
    <xf numFmtId="0" fontId="1" fillId="0" borderId="0" xfId="0" applyFont="1" applyFill="1" applyAlignment="1">
      <alignment horizontal="center" vertical="center"/>
    </xf>
    <xf numFmtId="0" fontId="10" fillId="0" borderId="0" xfId="0" applyFont="1" applyFill="1" applyAlignment="1">
      <alignment horizontal="center" vertical="top"/>
    </xf>
    <xf numFmtId="0" fontId="1" fillId="0" borderId="0" xfId="0" applyFont="1" applyFill="1" applyAlignment="1">
      <alignment horizontal="left" vertical="center" indent="1"/>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top"/>
    </xf>
    <xf numFmtId="0" fontId="1" fillId="0" borderId="1" xfId="0" applyFont="1" applyFill="1" applyBorder="1" applyAlignment="1">
      <alignment horizontal="left" vertical="center" indent="1"/>
    </xf>
    <xf numFmtId="0" fontId="9" fillId="0" borderId="2" xfId="0" applyFont="1" applyFill="1" applyBorder="1" applyAlignment="1">
      <alignment horizontal="center" vertical="top" wrapText="1"/>
    </xf>
    <xf numFmtId="49" fontId="9" fillId="0" borderId="2" xfId="0" applyNumberFormat="1" applyFont="1" applyFill="1" applyBorder="1" applyAlignment="1">
      <alignment horizontal="left" vertical="top" wrapText="1" indent="1"/>
    </xf>
    <xf numFmtId="0" fontId="6" fillId="0" borderId="2" xfId="0" applyFont="1" applyFill="1" applyBorder="1" applyAlignment="1">
      <alignment horizontal="center" vertical="top" wrapText="1"/>
    </xf>
    <xf numFmtId="0" fontId="1" fillId="0" borderId="8" xfId="0" applyFont="1" applyFill="1" applyBorder="1" applyAlignment="1">
      <alignment horizontal="center" vertical="center"/>
    </xf>
    <xf numFmtId="49" fontId="2" fillId="0" borderId="10" xfId="0" applyNumberFormat="1" applyFont="1" applyFill="1" applyBorder="1" applyAlignment="1">
      <alignment horizontal="left" vertical="top" wrapText="1" indent="1"/>
    </xf>
    <xf numFmtId="0" fontId="6" fillId="0" borderId="9" xfId="0" applyFont="1" applyFill="1" applyBorder="1" applyAlignment="1">
      <alignment horizontal="center" vertical="top" wrapText="1"/>
    </xf>
    <xf numFmtId="0" fontId="1" fillId="0" borderId="9" xfId="0" applyFont="1" applyFill="1" applyBorder="1" applyAlignment="1">
      <alignment horizontal="center" vertical="center"/>
    </xf>
    <xf numFmtId="0" fontId="2" fillId="0" borderId="6" xfId="0" applyFont="1" applyFill="1" applyBorder="1" applyAlignment="1">
      <alignment vertical="top" wrapText="1"/>
    </xf>
    <xf numFmtId="0" fontId="6" fillId="0" borderId="6" xfId="0" applyFont="1" applyFill="1" applyBorder="1" applyAlignment="1">
      <alignment horizontal="center" vertical="top" wrapText="1"/>
    </xf>
    <xf numFmtId="49" fontId="2" fillId="0" borderId="5" xfId="0" applyNumberFormat="1" applyFont="1" applyFill="1" applyBorder="1" applyAlignment="1">
      <alignment horizontal="left" vertical="top" wrapText="1" indent="1"/>
    </xf>
    <xf numFmtId="0" fontId="1" fillId="0" borderId="4" xfId="0" applyFont="1" applyFill="1" applyBorder="1" applyAlignment="1">
      <alignment horizontal="center" vertical="center"/>
    </xf>
    <xf numFmtId="49" fontId="9" fillId="0" borderId="2" xfId="0" applyNumberFormat="1" applyFont="1" applyFill="1" applyBorder="1" applyAlignment="1">
      <alignment horizontal="center" vertical="top" wrapText="1"/>
    </xf>
    <xf numFmtId="0" fontId="1" fillId="0" borderId="2" xfId="0" applyFont="1" applyFill="1" applyBorder="1" applyAlignment="1">
      <alignment vertical="top" wrapText="1"/>
    </xf>
    <xf numFmtId="0" fontId="1" fillId="0" borderId="2" xfId="0" applyFont="1" applyFill="1" applyBorder="1" applyAlignment="1">
      <alignment horizontal="center" vertical="center"/>
    </xf>
    <xf numFmtId="0" fontId="1" fillId="0" borderId="6" xfId="0" applyFont="1" applyFill="1" applyBorder="1" applyAlignment="1">
      <alignment vertical="top" wrapText="1"/>
    </xf>
    <xf numFmtId="49" fontId="9"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top" wrapText="1"/>
    </xf>
    <xf numFmtId="49" fontId="2" fillId="0" borderId="4" xfId="0" applyNumberFormat="1" applyFont="1" applyFill="1" applyBorder="1" applyAlignment="1">
      <alignment horizontal="left" vertical="top" wrapText="1" indent="1"/>
    </xf>
    <xf numFmtId="49" fontId="1" fillId="0" borderId="4" xfId="0" applyNumberFormat="1" applyFont="1" applyFill="1" applyBorder="1" applyAlignment="1">
      <alignment horizontal="center" vertical="top" wrapText="1"/>
    </xf>
    <xf numFmtId="49" fontId="9" fillId="0" borderId="2" xfId="0" applyNumberFormat="1" applyFont="1" applyFill="1" applyBorder="1" applyAlignment="1">
      <alignment horizontal="center" vertical="center" wrapText="1"/>
    </xf>
    <xf numFmtId="0" fontId="1" fillId="0" borderId="4" xfId="0" applyFont="1" applyFill="1" applyBorder="1" applyAlignment="1">
      <alignment horizontal="left" vertical="top" indent="1"/>
    </xf>
    <xf numFmtId="49" fontId="9" fillId="0" borderId="2" xfId="0" applyNumberFormat="1" applyFont="1" applyFill="1" applyBorder="1" applyAlignment="1">
      <alignment horizontal="left" vertical="center" wrapText="1" indent="1"/>
    </xf>
    <xf numFmtId="49" fontId="1" fillId="0" borderId="7" xfId="0" applyNumberFormat="1" applyFont="1" applyFill="1" applyBorder="1" applyAlignment="1">
      <alignment horizontal="center" vertical="top"/>
    </xf>
    <xf numFmtId="49" fontId="9" fillId="0" borderId="2" xfId="0" applyNumberFormat="1" applyFont="1" applyFill="1" applyBorder="1" applyAlignment="1">
      <alignment horizontal="center" vertical="top"/>
    </xf>
    <xf numFmtId="49" fontId="9" fillId="0" borderId="3" xfId="0" applyNumberFormat="1" applyFont="1" applyFill="1" applyBorder="1" applyAlignment="1">
      <alignment horizontal="left" vertical="top" wrapText="1" indent="1"/>
    </xf>
    <xf numFmtId="2" fontId="1" fillId="0" borderId="2" xfId="0" applyNumberFormat="1" applyFont="1" applyFill="1" applyBorder="1" applyAlignment="1">
      <alignment vertical="top" wrapText="1"/>
    </xf>
    <xf numFmtId="2" fontId="10" fillId="0" borderId="9" xfId="0" applyNumberFormat="1" applyFont="1" applyFill="1" applyBorder="1" applyAlignment="1">
      <alignment horizontal="center" vertical="top" wrapText="1"/>
    </xf>
    <xf numFmtId="2" fontId="1" fillId="0" borderId="9" xfId="0" applyNumberFormat="1" applyFont="1" applyFill="1" applyBorder="1" applyAlignment="1">
      <alignment horizontal="left" vertical="top" wrapText="1" indent="1"/>
    </xf>
    <xf numFmtId="2" fontId="1" fillId="0" borderId="6" xfId="0" applyNumberFormat="1" applyFont="1" applyFill="1" applyBorder="1" applyAlignment="1">
      <alignment horizontal="left" vertical="top" wrapText="1" indent="1"/>
    </xf>
    <xf numFmtId="49" fontId="1" fillId="0" borderId="9" xfId="0" applyNumberFormat="1" applyFont="1" applyFill="1" applyBorder="1" applyAlignment="1">
      <alignment horizontal="center" vertical="top"/>
    </xf>
    <xf numFmtId="0" fontId="2" fillId="0" borderId="0" xfId="0" applyFont="1" applyFill="1" applyAlignment="1">
      <alignment wrapText="1"/>
    </xf>
    <xf numFmtId="49" fontId="6" fillId="0" borderId="6" xfId="0" applyNumberFormat="1" applyFont="1" applyFill="1" applyBorder="1" applyAlignment="1">
      <alignment horizontal="center" vertical="top" wrapText="1"/>
    </xf>
    <xf numFmtId="49" fontId="2" fillId="0" borderId="2" xfId="0" applyNumberFormat="1" applyFont="1" applyFill="1" applyBorder="1" applyAlignment="1">
      <alignment horizontal="center" vertical="top"/>
    </xf>
    <xf numFmtId="49" fontId="2" fillId="0" borderId="6" xfId="0" applyNumberFormat="1" applyFont="1" applyFill="1" applyBorder="1" applyAlignment="1">
      <alignment horizontal="center" vertical="top" wrapText="1"/>
    </xf>
    <xf numFmtId="0" fontId="10" fillId="0" borderId="3" xfId="0" applyFont="1" applyFill="1" applyBorder="1" applyAlignment="1">
      <alignment horizontal="center" vertical="top" wrapText="1"/>
    </xf>
    <xf numFmtId="0" fontId="2" fillId="0" borderId="3" xfId="0" applyFont="1" applyFill="1" applyBorder="1" applyAlignment="1">
      <alignment horizontal="left" vertical="top" wrapText="1" indent="1"/>
    </xf>
    <xf numFmtId="49" fontId="1" fillId="0" borderId="12" xfId="0" applyNumberFormat="1" applyFont="1" applyFill="1" applyBorder="1" applyAlignment="1">
      <alignment horizontal="center" vertical="top"/>
    </xf>
    <xf numFmtId="0" fontId="10" fillId="0" borderId="10" xfId="0" applyFont="1" applyFill="1" applyBorder="1" applyAlignment="1">
      <alignment horizontal="center" vertical="top" wrapText="1"/>
    </xf>
    <xf numFmtId="0" fontId="2" fillId="0" borderId="10" xfId="0" applyFont="1" applyFill="1" applyBorder="1" applyAlignment="1">
      <alignment horizontal="left" vertical="top" wrapText="1" indent="1"/>
    </xf>
    <xf numFmtId="49" fontId="1" fillId="0" borderId="0" xfId="0" applyNumberFormat="1" applyFont="1" applyFill="1" applyBorder="1" applyAlignment="1">
      <alignment horizontal="center" vertical="top"/>
    </xf>
    <xf numFmtId="0" fontId="2" fillId="0" borderId="8" xfId="0" applyFont="1" applyFill="1" applyBorder="1" applyAlignment="1">
      <alignment horizontal="left" vertical="top" wrapText="1" indent="1"/>
    </xf>
    <xf numFmtId="0" fontId="2" fillId="0" borderId="12" xfId="0" applyFont="1" applyFill="1" applyBorder="1" applyAlignment="1">
      <alignment horizontal="left" vertical="top" wrapText="1" indent="1"/>
    </xf>
    <xf numFmtId="49" fontId="1" fillId="0" borderId="8" xfId="0" applyNumberFormat="1" applyFont="1" applyFill="1" applyBorder="1" applyAlignment="1">
      <alignment horizontal="center" vertical="top"/>
    </xf>
    <xf numFmtId="49" fontId="2" fillId="0" borderId="10" xfId="0" applyNumberFormat="1" applyFont="1" applyFill="1" applyBorder="1" applyAlignment="1">
      <alignment horizontal="center" vertical="top"/>
    </xf>
    <xf numFmtId="3" fontId="1" fillId="0" borderId="0"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0" fontId="10" fillId="0" borderId="11" xfId="0" applyFont="1" applyFill="1" applyBorder="1" applyAlignment="1">
      <alignment horizontal="center" vertical="top" wrapText="1"/>
    </xf>
    <xf numFmtId="3" fontId="1" fillId="0" borderId="5" xfId="0" applyNumberFormat="1" applyFont="1" applyFill="1" applyBorder="1" applyAlignment="1">
      <alignment horizontal="center" vertical="top"/>
    </xf>
    <xf numFmtId="0" fontId="1" fillId="0" borderId="7" xfId="0" applyFont="1" applyFill="1" applyBorder="1" applyAlignment="1">
      <alignment horizontal="center" vertical="center"/>
    </xf>
    <xf numFmtId="0" fontId="6" fillId="0" borderId="4" xfId="0" applyFont="1" applyFill="1" applyBorder="1" applyAlignment="1">
      <alignment horizontal="center" vertical="top" wrapText="1"/>
    </xf>
    <xf numFmtId="0" fontId="2" fillId="0" borderId="1" xfId="0" applyFont="1" applyFill="1" applyBorder="1"/>
    <xf numFmtId="4" fontId="3" fillId="0" borderId="1" xfId="0" applyNumberFormat="1" applyFont="1" applyFill="1" applyBorder="1" applyAlignment="1">
      <alignment horizontal="center" vertical="center" wrapText="1"/>
    </xf>
    <xf numFmtId="49" fontId="2" fillId="0" borderId="2" xfId="0" applyNumberFormat="1" applyFont="1" applyFill="1" applyBorder="1" applyAlignment="1">
      <alignment vertical="top" wrapText="1"/>
    </xf>
    <xf numFmtId="49" fontId="2" fillId="0" borderId="6" xfId="0" applyNumberFormat="1" applyFont="1" applyFill="1" applyBorder="1" applyAlignment="1">
      <alignment vertical="top" wrapText="1"/>
    </xf>
    <xf numFmtId="2" fontId="10" fillId="0" borderId="6" xfId="0" applyNumberFormat="1" applyFont="1" applyFill="1" applyBorder="1" applyAlignment="1">
      <alignment horizontal="center" vertical="top" wrapText="1"/>
    </xf>
    <xf numFmtId="49" fontId="2" fillId="0" borderId="4" xfId="0" applyNumberFormat="1" applyFont="1" applyFill="1" applyBorder="1" applyAlignment="1">
      <alignment vertical="top" wrapText="1"/>
    </xf>
    <xf numFmtId="0" fontId="6" fillId="0" borderId="0" xfId="0" applyFont="1" applyFill="1" applyAlignment="1">
      <alignment horizontal="center" vertical="top"/>
    </xf>
    <xf numFmtId="0" fontId="2" fillId="0" borderId="0" xfId="0" applyFont="1" applyFill="1" applyAlignment="1">
      <alignment horizontal="left" indent="1"/>
    </xf>
    <xf numFmtId="0" fontId="1" fillId="0" borderId="0" xfId="0" applyFont="1" applyFill="1" applyAlignment="1">
      <alignment vertical="center"/>
    </xf>
    <xf numFmtId="49" fontId="11" fillId="0" borderId="6" xfId="0" applyNumberFormat="1" applyFont="1" applyFill="1" applyBorder="1" applyAlignment="1">
      <alignment horizontal="center" vertical="top"/>
    </xf>
    <xf numFmtId="0" fontId="12" fillId="0" borderId="6" xfId="0" applyFont="1" applyFill="1" applyBorder="1" applyAlignment="1">
      <alignment horizontal="center" vertical="top" wrapText="1"/>
    </xf>
    <xf numFmtId="3" fontId="11" fillId="0" borderId="6" xfId="0" applyNumberFormat="1" applyFont="1" applyFill="1" applyBorder="1" applyAlignment="1">
      <alignment horizontal="center" vertical="top"/>
    </xf>
    <xf numFmtId="0" fontId="11" fillId="0" borderId="9" xfId="0" applyFont="1" applyFill="1" applyBorder="1" applyAlignment="1">
      <alignment horizontal="center" vertical="center"/>
    </xf>
    <xf numFmtId="0" fontId="11" fillId="0" borderId="0" xfId="0" applyFont="1" applyFill="1"/>
    <xf numFmtId="49" fontId="11" fillId="0" borderId="0" xfId="0" applyNumberFormat="1" applyFont="1" applyFill="1" applyBorder="1" applyAlignment="1">
      <alignment horizontal="left" vertical="top" wrapText="1" indent="1"/>
    </xf>
    <xf numFmtId="0" fontId="11" fillId="0" borderId="6" xfId="0" applyFont="1" applyFill="1" applyBorder="1" applyAlignment="1">
      <alignment horizontal="center" vertical="center"/>
    </xf>
    <xf numFmtId="49" fontId="11" fillId="0" borderId="6" xfId="0" applyNumberFormat="1" applyFont="1" applyFill="1" applyBorder="1" applyAlignment="1">
      <alignment horizontal="center" vertical="top" wrapText="1"/>
    </xf>
    <xf numFmtId="2" fontId="11" fillId="0" borderId="6" xfId="0" applyNumberFormat="1" applyFont="1" applyFill="1" applyBorder="1" applyAlignment="1">
      <alignment vertical="top" wrapText="1"/>
    </xf>
    <xf numFmtId="2" fontId="11" fillId="0" borderId="6" xfId="0" applyNumberFormat="1" applyFont="1" applyFill="1" applyBorder="1" applyAlignment="1">
      <alignment horizontal="left" vertical="top" wrapText="1" indent="1"/>
    </xf>
    <xf numFmtId="49" fontId="11" fillId="0" borderId="10" xfId="0" applyNumberFormat="1" applyFont="1" applyFill="1" applyBorder="1" applyAlignment="1">
      <alignment horizontal="left" vertical="top" wrapText="1" indent="1"/>
    </xf>
    <xf numFmtId="0" fontId="12" fillId="0" borderId="9" xfId="0" applyFont="1" applyFill="1" applyBorder="1" applyAlignment="1">
      <alignment horizontal="center" vertical="top" wrapText="1"/>
    </xf>
    <xf numFmtId="49" fontId="11" fillId="0" borderId="9" xfId="0" applyNumberFormat="1" applyFont="1" applyFill="1" applyBorder="1" applyAlignment="1">
      <alignment horizontal="left" vertical="top" wrapText="1" indent="1"/>
    </xf>
    <xf numFmtId="49" fontId="11" fillId="0" borderId="9" xfId="0" applyNumberFormat="1" applyFont="1" applyFill="1" applyBorder="1" applyAlignment="1">
      <alignment horizontal="center" vertical="top"/>
    </xf>
    <xf numFmtId="2" fontId="10" fillId="0" borderId="8" xfId="0" applyNumberFormat="1" applyFont="1" applyFill="1" applyBorder="1" applyAlignment="1">
      <alignment horizontal="center" vertical="top" wrapText="1"/>
    </xf>
    <xf numFmtId="2" fontId="1" fillId="0" borderId="8" xfId="0" applyNumberFormat="1" applyFont="1" applyFill="1" applyBorder="1" applyAlignment="1">
      <alignment horizontal="left" vertical="top" wrapText="1" indent="1"/>
    </xf>
    <xf numFmtId="49" fontId="2" fillId="0" borderId="8" xfId="0" applyNumberFormat="1" applyFont="1" applyFill="1" applyBorder="1" applyAlignment="1">
      <alignment horizontal="left" vertical="top" wrapText="1" indent="1"/>
    </xf>
    <xf numFmtId="49" fontId="11" fillId="0" borderId="2" xfId="0" applyNumberFormat="1" applyFont="1" applyFill="1" applyBorder="1" applyAlignment="1">
      <alignment horizontal="center" vertical="top"/>
    </xf>
    <xf numFmtId="0" fontId="11" fillId="0" borderId="8" xfId="0" applyFont="1" applyFill="1" applyBorder="1" applyAlignment="1">
      <alignment horizontal="center" vertical="center"/>
    </xf>
    <xf numFmtId="0" fontId="13" fillId="0" borderId="0" xfId="0" applyFont="1" applyFill="1"/>
    <xf numFmtId="49" fontId="11" fillId="0" borderId="6" xfId="0" applyNumberFormat="1" applyFont="1" applyFill="1" applyBorder="1" applyAlignment="1">
      <alignment horizontal="left" vertical="top" wrapText="1" indent="1"/>
    </xf>
    <xf numFmtId="0" fontId="12" fillId="0" borderId="1" xfId="0" applyFont="1" applyFill="1" applyBorder="1" applyAlignment="1">
      <alignment horizontal="center" vertical="top" wrapText="1"/>
    </xf>
    <xf numFmtId="0" fontId="11" fillId="0" borderId="1" xfId="0" applyFont="1" applyFill="1" applyBorder="1" applyAlignment="1">
      <alignment horizontal="left" vertical="top" wrapText="1" indent="1"/>
    </xf>
    <xf numFmtId="49" fontId="11" fillId="0" borderId="1" xfId="0" applyNumberFormat="1" applyFont="1" applyFill="1" applyBorder="1" applyAlignment="1">
      <alignment horizontal="center" vertical="top"/>
    </xf>
    <xf numFmtId="3" fontId="11" fillId="0" borderId="1" xfId="0" applyNumberFormat="1" applyFont="1" applyFill="1" applyBorder="1" applyAlignment="1">
      <alignment horizontal="center" vertical="top"/>
    </xf>
    <xf numFmtId="49" fontId="11" fillId="0" borderId="4" xfId="0" applyNumberFormat="1" applyFont="1" applyFill="1" applyBorder="1" applyAlignment="1">
      <alignment horizontal="center" vertical="top"/>
    </xf>
    <xf numFmtId="0" fontId="11" fillId="0" borderId="1" xfId="0" applyFont="1" applyFill="1" applyBorder="1" applyAlignment="1">
      <alignment horizontal="center" vertical="center"/>
    </xf>
    <xf numFmtId="0" fontId="11" fillId="0" borderId="0" xfId="0" applyFont="1" applyFill="1" applyAlignment="1">
      <alignment wrapText="1"/>
    </xf>
    <xf numFmtId="49" fontId="11" fillId="0" borderId="11" xfId="0" applyNumberFormat="1" applyFont="1" applyFill="1" applyBorder="1" applyAlignment="1">
      <alignment horizontal="center" vertical="top"/>
    </xf>
    <xf numFmtId="0" fontId="12" fillId="0" borderId="10" xfId="0" applyFont="1" applyFill="1" applyBorder="1" applyAlignment="1">
      <alignment horizontal="center" vertical="top" wrapText="1"/>
    </xf>
    <xf numFmtId="3" fontId="11" fillId="0" borderId="0" xfId="0" applyNumberFormat="1" applyFont="1" applyFill="1" applyBorder="1" applyAlignment="1">
      <alignment horizontal="center" vertical="top"/>
    </xf>
    <xf numFmtId="49" fontId="11" fillId="0" borderId="7" xfId="0" applyNumberFormat="1" applyFont="1" applyFill="1" applyBorder="1" applyAlignment="1">
      <alignment horizontal="left" vertical="top" wrapText="1" indent="1"/>
    </xf>
    <xf numFmtId="49" fontId="11" fillId="0" borderId="1" xfId="0" applyNumberFormat="1" applyFont="1" applyFill="1" applyBorder="1" applyAlignment="1">
      <alignment horizontal="center" vertical="top" wrapText="1"/>
    </xf>
    <xf numFmtId="0" fontId="12" fillId="0" borderId="2" xfId="0" applyFont="1" applyFill="1" applyBorder="1" applyAlignment="1">
      <alignment horizontal="center" vertical="top" wrapText="1"/>
    </xf>
    <xf numFmtId="3" fontId="11" fillId="0" borderId="2" xfId="0" applyNumberFormat="1" applyFont="1" applyFill="1" applyBorder="1" applyAlignment="1">
      <alignment horizontal="center" vertical="top"/>
    </xf>
    <xf numFmtId="0" fontId="11" fillId="0" borderId="2" xfId="0" applyFont="1" applyFill="1" applyBorder="1" applyAlignment="1">
      <alignment horizontal="center" vertical="center"/>
    </xf>
    <xf numFmtId="0" fontId="13" fillId="0" borderId="0" xfId="0" applyFont="1" applyFill="1" applyAlignment="1">
      <alignment wrapText="1"/>
    </xf>
    <xf numFmtId="3" fontId="11" fillId="0" borderId="4" xfId="0" applyNumberFormat="1" applyFont="1" applyFill="1" applyBorder="1" applyAlignment="1">
      <alignment horizontal="center" vertical="top"/>
    </xf>
    <xf numFmtId="0" fontId="11" fillId="0" borderId="4" xfId="0" applyFont="1" applyFill="1" applyBorder="1" applyAlignment="1">
      <alignment horizontal="left" vertical="top" wrapText="1" indent="1"/>
    </xf>
    <xf numFmtId="0" fontId="11" fillId="0" borderId="7" xfId="0" applyFont="1" applyFill="1" applyBorder="1" applyAlignment="1">
      <alignment horizontal="center" vertical="center"/>
    </xf>
    <xf numFmtId="0" fontId="11" fillId="0" borderId="7" xfId="0" applyFont="1" applyFill="1" applyBorder="1" applyAlignment="1">
      <alignment horizontal="left" vertical="center" indent="1"/>
    </xf>
    <xf numFmtId="0" fontId="11" fillId="0" borderId="0" xfId="0" applyFont="1" applyFill="1" applyAlignment="1">
      <alignment horizontal="left" wrapText="1" indent="1"/>
    </xf>
    <xf numFmtId="0" fontId="11" fillId="0" borderId="0" xfId="0" applyFont="1" applyFill="1" applyAlignment="1">
      <alignment horizontal="left" indent="1"/>
    </xf>
    <xf numFmtId="0" fontId="2" fillId="0" borderId="4" xfId="0" applyFont="1" applyFill="1" applyBorder="1" applyAlignment="1">
      <alignment vertical="top" wrapText="1"/>
    </xf>
    <xf numFmtId="49" fontId="11" fillId="0" borderId="2" xfId="0" applyNumberFormat="1"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6" xfId="0" applyFont="1" applyFill="1" applyBorder="1" applyAlignment="1">
      <alignment horizontal="left" vertical="top" wrapText="1" indent="1"/>
    </xf>
    <xf numFmtId="0" fontId="11" fillId="0" borderId="6" xfId="0" applyFont="1" applyFill="1" applyBorder="1" applyAlignment="1">
      <alignment vertical="top" wrapText="1"/>
    </xf>
    <xf numFmtId="2" fontId="2" fillId="0" borderId="6" xfId="0" applyNumberFormat="1" applyFont="1" applyFill="1" applyBorder="1" applyAlignment="1">
      <alignment horizontal="left" vertical="top" wrapText="1" indent="1"/>
    </xf>
    <xf numFmtId="0" fontId="11" fillId="0" borderId="0" xfId="0" applyFont="1" applyFill="1" applyAlignment="1">
      <alignment horizontal="left" vertical="top"/>
    </xf>
    <xf numFmtId="4" fontId="11" fillId="0" borderId="0" xfId="0" applyNumberFormat="1" applyFont="1" applyFill="1"/>
    <xf numFmtId="3" fontId="4" fillId="0" borderId="2" xfId="0" applyNumberFormat="1" applyFont="1" applyFill="1" applyBorder="1" applyAlignment="1">
      <alignment horizontal="center" vertical="top"/>
    </xf>
    <xf numFmtId="0" fontId="4" fillId="0" borderId="6" xfId="0" applyFont="1" applyFill="1" applyBorder="1" applyAlignment="1">
      <alignment horizontal="center" vertical="center"/>
    </xf>
    <xf numFmtId="0" fontId="4" fillId="0" borderId="0" xfId="0" applyFont="1" applyFill="1"/>
    <xf numFmtId="3" fontId="4" fillId="0" borderId="4" xfId="0" applyNumberFormat="1" applyFont="1" applyFill="1" applyBorder="1" applyAlignment="1">
      <alignment horizontal="center" vertical="top"/>
    </xf>
    <xf numFmtId="49" fontId="4" fillId="0" borderId="4" xfId="0" applyNumberFormat="1" applyFont="1" applyFill="1" applyBorder="1" applyAlignment="1">
      <alignment horizontal="center" vertical="top"/>
    </xf>
    <xf numFmtId="49" fontId="4" fillId="0" borderId="2" xfId="0" applyNumberFormat="1" applyFont="1" applyFill="1" applyBorder="1" applyAlignment="1">
      <alignment horizontal="left" vertical="top" wrapText="1" indent="1"/>
    </xf>
    <xf numFmtId="0" fontId="4" fillId="0" borderId="4" xfId="0" applyFont="1" applyFill="1" applyBorder="1" applyAlignment="1">
      <alignment horizontal="left" vertical="top" wrapText="1" indent="1"/>
    </xf>
    <xf numFmtId="0" fontId="14" fillId="0" borderId="4" xfId="0" applyFont="1" applyFill="1" applyBorder="1" applyAlignment="1">
      <alignment horizontal="center" vertical="top" wrapText="1"/>
    </xf>
    <xf numFmtId="0" fontId="4" fillId="0" borderId="1" xfId="0" applyFont="1" applyFill="1" applyBorder="1" applyAlignment="1">
      <alignment horizontal="center" vertical="center"/>
    </xf>
    <xf numFmtId="49" fontId="2" fillId="0" borderId="0" xfId="0" applyNumberFormat="1" applyFont="1" applyFill="1" applyBorder="1" applyAlignment="1">
      <alignment horizontal="center" vertical="top"/>
    </xf>
    <xf numFmtId="0" fontId="1" fillId="0" borderId="0" xfId="0" applyFont="1" applyFill="1" applyBorder="1" applyAlignment="1">
      <alignment horizontal="left" vertical="top" wrapText="1" indent="1"/>
    </xf>
    <xf numFmtId="0" fontId="10" fillId="0" borderId="0" xfId="0" applyFont="1" applyFill="1" applyBorder="1" applyAlignment="1">
      <alignment horizontal="center" vertical="top" wrapText="1"/>
    </xf>
    <xf numFmtId="0" fontId="1" fillId="0" borderId="0" xfId="0" applyFont="1" applyFill="1" applyBorder="1" applyAlignment="1">
      <alignment horizontal="center" vertical="center"/>
    </xf>
    <xf numFmtId="0" fontId="11" fillId="0" borderId="0" xfId="0" applyFont="1" applyFill="1" applyBorder="1" applyAlignment="1">
      <alignment horizontal="left" vertical="top" wrapText="1" indent="1"/>
    </xf>
    <xf numFmtId="0" fontId="11" fillId="0" borderId="0" xfId="0" applyFont="1" applyFill="1" applyBorder="1" applyAlignment="1">
      <alignment horizontal="center" vertical="center"/>
    </xf>
    <xf numFmtId="2" fontId="11" fillId="0" borderId="4" xfId="0" applyNumberFormat="1" applyFont="1" applyFill="1" applyBorder="1" applyAlignment="1">
      <alignment horizontal="left" vertical="top" wrapText="1" indent="1"/>
    </xf>
    <xf numFmtId="2" fontId="12" fillId="0" borderId="6" xfId="0" applyNumberFormat="1" applyFont="1" applyFill="1" applyBorder="1" applyAlignment="1">
      <alignment horizontal="center" vertical="top" wrapText="1"/>
    </xf>
    <xf numFmtId="0" fontId="11" fillId="0" borderId="4" xfId="0" applyFont="1" applyFill="1" applyBorder="1" applyAlignment="1">
      <alignment horizontal="center" vertical="center"/>
    </xf>
    <xf numFmtId="49" fontId="11" fillId="0" borderId="4" xfId="0" applyNumberFormat="1" applyFont="1" applyFill="1" applyBorder="1" applyAlignment="1">
      <alignment horizontal="center" vertical="top" wrapText="1"/>
    </xf>
    <xf numFmtId="0" fontId="4" fillId="0" borderId="0" xfId="0" applyFont="1" applyFill="1" applyBorder="1" applyAlignment="1">
      <alignment horizontal="left" vertical="top" wrapText="1" indent="1"/>
    </xf>
    <xf numFmtId="0" fontId="11" fillId="0" borderId="2" xfId="0" applyFont="1" applyFill="1" applyBorder="1" applyAlignment="1">
      <alignment vertical="top" wrapText="1"/>
    </xf>
    <xf numFmtId="0" fontId="11" fillId="0" borderId="4" xfId="0" applyFont="1" applyFill="1" applyBorder="1" applyAlignment="1">
      <alignment vertical="top" wrapText="1"/>
    </xf>
    <xf numFmtId="0" fontId="1" fillId="0" borderId="2" xfId="0" applyFont="1" applyFill="1" applyBorder="1" applyAlignment="1">
      <alignment horizontal="left" vertical="top" wrapText="1" indent="1"/>
    </xf>
    <xf numFmtId="0" fontId="1" fillId="0" borderId="6" xfId="0" applyFont="1" applyFill="1" applyBorder="1" applyAlignment="1">
      <alignment horizontal="left" vertical="top" wrapText="1" indent="1"/>
    </xf>
    <xf numFmtId="0" fontId="1" fillId="0" borderId="4" xfId="0" applyFont="1" applyFill="1" applyBorder="1" applyAlignment="1">
      <alignment horizontal="left" vertical="top" wrapText="1" indent="1"/>
    </xf>
    <xf numFmtId="49" fontId="1" fillId="0" borderId="2" xfId="0" applyNumberFormat="1" applyFont="1" applyFill="1" applyBorder="1" applyAlignment="1">
      <alignment horizontal="center" vertical="top"/>
    </xf>
    <xf numFmtId="49" fontId="1" fillId="0" borderId="4" xfId="0" applyNumberFormat="1" applyFont="1" applyFill="1" applyBorder="1" applyAlignment="1">
      <alignment horizontal="center" vertical="top"/>
    </xf>
    <xf numFmtId="49" fontId="2" fillId="0" borderId="2" xfId="0" applyNumberFormat="1" applyFont="1" applyFill="1" applyBorder="1" applyAlignment="1">
      <alignment horizontal="left" vertical="top" wrapText="1" indent="1"/>
    </xf>
    <xf numFmtId="49" fontId="2" fillId="0" borderId="6" xfId="0" applyNumberFormat="1" applyFont="1" applyFill="1" applyBorder="1" applyAlignment="1">
      <alignment horizontal="left" vertical="top" wrapText="1" indent="1"/>
    </xf>
    <xf numFmtId="0" fontId="2" fillId="0" borderId="2" xfId="0" applyFont="1" applyFill="1" applyBorder="1" applyAlignment="1">
      <alignment horizontal="left" vertical="top" wrapText="1" indent="1"/>
    </xf>
    <xf numFmtId="0" fontId="2" fillId="0" borderId="6" xfId="0" applyFont="1" applyFill="1" applyBorder="1" applyAlignment="1">
      <alignment horizontal="left" vertical="top" wrapText="1" indent="1"/>
    </xf>
    <xf numFmtId="0" fontId="2" fillId="0" borderId="4" xfId="0" applyFont="1" applyFill="1" applyBorder="1" applyAlignment="1">
      <alignment horizontal="left" vertical="top" wrapText="1" indent="1"/>
    </xf>
    <xf numFmtId="0" fontId="2" fillId="0" borderId="8" xfId="0" applyFont="1" applyFill="1" applyBorder="1" applyAlignment="1">
      <alignment horizontal="left" vertical="top" wrapText="1" indent="1"/>
    </xf>
    <xf numFmtId="2" fontId="1" fillId="0" borderId="6" xfId="0" applyNumberFormat="1" applyFont="1" applyFill="1" applyBorder="1" applyAlignment="1">
      <alignment horizontal="left" vertical="top" wrapText="1" indent="1"/>
    </xf>
    <xf numFmtId="0" fontId="1" fillId="0" borderId="1" xfId="0" applyFont="1" applyFill="1" applyBorder="1" applyAlignment="1">
      <alignment horizontal="center" vertical="center" wrapText="1"/>
    </xf>
    <xf numFmtId="49" fontId="2" fillId="0" borderId="4" xfId="0" applyNumberFormat="1" applyFont="1" applyFill="1" applyBorder="1" applyAlignment="1">
      <alignment horizontal="left" vertical="top" wrapText="1" indent="1"/>
    </xf>
    <xf numFmtId="49" fontId="11" fillId="0" borderId="2" xfId="0" applyNumberFormat="1" applyFont="1" applyFill="1" applyBorder="1" applyAlignment="1">
      <alignment horizontal="left" vertical="top" wrapText="1" indent="1"/>
    </xf>
    <xf numFmtId="49" fontId="11" fillId="0" borderId="4" xfId="0" applyNumberFormat="1" applyFont="1" applyFill="1" applyBorder="1" applyAlignment="1">
      <alignment horizontal="left" vertical="top" wrapText="1" indent="1"/>
    </xf>
    <xf numFmtId="49" fontId="11" fillId="0" borderId="1" xfId="0" applyNumberFormat="1" applyFont="1" applyFill="1" applyBorder="1" applyAlignment="1">
      <alignment horizontal="left" vertical="top" wrapText="1" indent="1"/>
    </xf>
    <xf numFmtId="0" fontId="11" fillId="0" borderId="6" xfId="0" applyFont="1" applyFill="1" applyBorder="1" applyAlignment="1">
      <alignment horizontal="left" vertical="top" wrapText="1" indent="1"/>
    </xf>
    <xf numFmtId="0" fontId="11" fillId="0" borderId="2" xfId="0" applyFont="1" applyFill="1" applyBorder="1" applyAlignment="1">
      <alignment horizontal="left" vertical="top" wrapText="1" indent="1"/>
    </xf>
    <xf numFmtId="49" fontId="4" fillId="0" borderId="4" xfId="0" applyNumberFormat="1" applyFont="1" applyFill="1" applyBorder="1" applyAlignment="1">
      <alignment horizontal="center" vertical="top" wrapText="1"/>
    </xf>
    <xf numFmtId="0" fontId="11" fillId="0" borderId="6" xfId="0" applyFont="1" applyFill="1" applyBorder="1" applyAlignment="1">
      <alignment horizontal="left" vertical="top" wrapText="1" indent="1"/>
    </xf>
    <xf numFmtId="49" fontId="11" fillId="0" borderId="1" xfId="0" applyNumberFormat="1" applyFont="1" applyFill="1" applyBorder="1" applyAlignment="1">
      <alignment horizontal="left" vertical="top" wrapText="1" indent="1"/>
    </xf>
    <xf numFmtId="3" fontId="4" fillId="0" borderId="4" xfId="0" applyNumberFormat="1" applyFont="1" applyFill="1" applyBorder="1" applyAlignment="1">
      <alignment horizontal="center" vertical="top" wrapText="1"/>
    </xf>
    <xf numFmtId="49" fontId="11" fillId="0" borderId="10" xfId="0" applyNumberFormat="1" applyFont="1" applyFill="1" applyBorder="1" applyAlignment="1">
      <alignment horizontal="center" vertical="top"/>
    </xf>
    <xf numFmtId="0" fontId="15" fillId="0" borderId="2" xfId="0" applyFont="1" applyFill="1" applyBorder="1" applyAlignment="1">
      <alignment horizontal="center" vertical="top" wrapText="1"/>
    </xf>
    <xf numFmtId="49" fontId="15" fillId="0" borderId="2" xfId="0" applyNumberFormat="1" applyFont="1" applyFill="1" applyBorder="1" applyAlignment="1">
      <alignment horizontal="center" vertical="top" wrapText="1"/>
    </xf>
    <xf numFmtId="49" fontId="15"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top"/>
    </xf>
    <xf numFmtId="49" fontId="15" fillId="0" borderId="3" xfId="0" applyNumberFormat="1" applyFont="1" applyFill="1" applyBorder="1" applyAlignment="1">
      <alignment horizontal="center" vertical="top"/>
    </xf>
    <xf numFmtId="49" fontId="11" fillId="0" borderId="8" xfId="0" applyNumberFormat="1" applyFont="1" applyFill="1" applyBorder="1" applyAlignment="1">
      <alignment horizontal="center" vertical="top"/>
    </xf>
    <xf numFmtId="49" fontId="11" fillId="0" borderId="6" xfId="0" applyNumberFormat="1" applyFont="1" applyFill="1" applyBorder="1" applyAlignment="1">
      <alignment horizontal="left" vertical="top" wrapText="1" indent="1"/>
    </xf>
    <xf numFmtId="49" fontId="15" fillId="0" borderId="6" xfId="0" applyNumberFormat="1" applyFont="1" applyFill="1" applyBorder="1" applyAlignment="1">
      <alignment horizontal="left" vertical="center" wrapText="1" indent="1"/>
    </xf>
    <xf numFmtId="0" fontId="2" fillId="0" borderId="4" xfId="0" applyNumberFormat="1" applyFont="1" applyFill="1" applyBorder="1" applyAlignment="1">
      <alignment horizontal="center" vertical="top"/>
    </xf>
    <xf numFmtId="0" fontId="11" fillId="0" borderId="4" xfId="0" applyFont="1" applyFill="1" applyBorder="1" applyAlignment="1">
      <alignment horizontal="left" vertical="top" wrapText="1" indent="1"/>
    </xf>
    <xf numFmtId="49" fontId="11" fillId="0" borderId="2" xfId="0" applyNumberFormat="1" applyFont="1" applyFill="1" applyBorder="1" applyAlignment="1">
      <alignment vertical="top" wrapText="1"/>
    </xf>
    <xf numFmtId="2" fontId="11" fillId="0" borderId="1" xfId="0" applyNumberFormat="1" applyFont="1" applyFill="1" applyBorder="1" applyAlignment="1">
      <alignment horizontal="left" vertical="top" wrapText="1" indent="1"/>
    </xf>
    <xf numFmtId="2" fontId="12" fillId="0" borderId="1" xfId="0" applyNumberFormat="1" applyFont="1" applyFill="1" applyBorder="1" applyAlignment="1">
      <alignment horizontal="center" vertical="top" wrapText="1"/>
    </xf>
    <xf numFmtId="49" fontId="11" fillId="0" borderId="1" xfId="0" applyNumberFormat="1" applyFont="1" applyFill="1" applyBorder="1" applyAlignment="1">
      <alignment vertical="top" wrapText="1"/>
    </xf>
    <xf numFmtId="2" fontId="11" fillId="0" borderId="2" xfId="0" applyNumberFormat="1" applyFont="1" applyFill="1" applyBorder="1" applyAlignment="1">
      <alignment horizontal="left" vertical="top" wrapText="1" indent="1"/>
    </xf>
    <xf numFmtId="2" fontId="12" fillId="0" borderId="2" xfId="0" applyNumberFormat="1" applyFont="1" applyFill="1" applyBorder="1" applyAlignment="1">
      <alignment horizontal="center" vertical="top" wrapText="1"/>
    </xf>
    <xf numFmtId="0" fontId="11" fillId="0" borderId="4" xfId="0" applyFont="1" applyFill="1" applyBorder="1"/>
    <xf numFmtId="0" fontId="15" fillId="0" borderId="6" xfId="0" applyFont="1" applyFill="1" applyBorder="1" applyAlignment="1">
      <alignment horizontal="center" vertical="center"/>
    </xf>
    <xf numFmtId="49" fontId="15" fillId="0" borderId="1" xfId="0" applyNumberFormat="1" applyFont="1" applyFill="1" applyBorder="1" applyAlignment="1">
      <alignment horizontal="left" vertical="top" wrapText="1" indent="1"/>
    </xf>
    <xf numFmtId="49" fontId="12" fillId="0" borderId="1" xfId="0" applyNumberFormat="1" applyFont="1" applyFill="1" applyBorder="1" applyAlignment="1">
      <alignment horizontal="center" vertical="top" wrapText="1"/>
    </xf>
    <xf numFmtId="0" fontId="11" fillId="0" borderId="1" xfId="0" applyFont="1" applyFill="1" applyBorder="1" applyAlignment="1">
      <alignment vertical="top" wrapText="1"/>
    </xf>
    <xf numFmtId="0" fontId="16" fillId="0" borderId="0" xfId="0" applyFont="1" applyFill="1" applyAlignment="1">
      <alignment vertical="center"/>
    </xf>
    <xf numFmtId="49" fontId="17" fillId="0" borderId="6" xfId="0" applyNumberFormat="1" applyFont="1" applyFill="1" applyBorder="1" applyAlignment="1">
      <alignment horizontal="center" vertical="top"/>
    </xf>
    <xf numFmtId="49" fontId="17" fillId="0" borderId="10" xfId="0" applyNumberFormat="1" applyFont="1" applyFill="1" applyBorder="1" applyAlignment="1">
      <alignment horizontal="left" vertical="top" wrapText="1" indent="1"/>
    </xf>
    <xf numFmtId="0" fontId="17" fillId="0" borderId="6" xfId="0" applyFont="1" applyFill="1" applyBorder="1" applyAlignment="1">
      <alignment horizontal="left" vertical="top" wrapText="1" indent="1"/>
    </xf>
    <xf numFmtId="0" fontId="18" fillId="0" borderId="9" xfId="0" applyFont="1" applyFill="1" applyBorder="1" applyAlignment="1">
      <alignment horizontal="center" vertical="top" wrapText="1"/>
    </xf>
    <xf numFmtId="49" fontId="17" fillId="0" borderId="9" xfId="0" applyNumberFormat="1" applyFont="1" applyFill="1" applyBorder="1" applyAlignment="1">
      <alignment horizontal="left" vertical="top" wrapText="1" indent="1"/>
    </xf>
    <xf numFmtId="49" fontId="17" fillId="0" borderId="9" xfId="0" applyNumberFormat="1" applyFont="1" applyFill="1" applyBorder="1" applyAlignment="1">
      <alignment horizontal="center" vertical="top"/>
    </xf>
    <xf numFmtId="49" fontId="17" fillId="0" borderId="6" xfId="0" applyNumberFormat="1" applyFont="1" applyFill="1" applyBorder="1" applyAlignment="1">
      <alignment horizontal="center" vertical="top" wrapText="1"/>
    </xf>
    <xf numFmtId="3" fontId="17" fillId="0" borderId="6" xfId="0" applyNumberFormat="1" applyFont="1" applyFill="1" applyBorder="1" applyAlignment="1">
      <alignment horizontal="center" vertical="top"/>
    </xf>
    <xf numFmtId="0" fontId="17" fillId="0" borderId="6" xfId="0" applyFont="1" applyFill="1" applyBorder="1" applyAlignment="1">
      <alignment horizontal="center" vertical="center"/>
    </xf>
    <xf numFmtId="0" fontId="17" fillId="0" borderId="0" xfId="0" applyFont="1" applyFill="1"/>
    <xf numFmtId="49" fontId="17" fillId="0" borderId="2" xfId="0" applyNumberFormat="1" applyFont="1" applyFill="1" applyBorder="1" applyAlignment="1">
      <alignment horizontal="center" vertical="top"/>
    </xf>
    <xf numFmtId="0" fontId="18" fillId="0" borderId="6" xfId="0" applyFont="1" applyFill="1" applyBorder="1" applyAlignment="1">
      <alignment horizontal="center" vertical="top" wrapText="1"/>
    </xf>
    <xf numFmtId="0" fontId="17" fillId="0" borderId="2" xfId="0" applyFont="1" applyFill="1" applyBorder="1" applyAlignment="1">
      <alignment horizontal="left" vertical="top" wrapText="1" indent="1"/>
    </xf>
    <xf numFmtId="0" fontId="17" fillId="0" borderId="8" xfId="0" applyFont="1" applyFill="1" applyBorder="1" applyAlignment="1">
      <alignment horizontal="center" vertical="center"/>
    </xf>
    <xf numFmtId="0" fontId="19" fillId="0" borderId="0" xfId="0" applyFont="1" applyFill="1"/>
    <xf numFmtId="49" fontId="11" fillId="0" borderId="4" xfId="0" applyNumberFormat="1" applyFont="1" applyFill="1" applyBorder="1" applyAlignment="1">
      <alignment horizontal="center" vertical="top"/>
    </xf>
    <xf numFmtId="49" fontId="20" fillId="0" borderId="1" xfId="0" applyNumberFormat="1" applyFont="1" applyFill="1" applyBorder="1" applyAlignment="1">
      <alignment horizontal="center" vertical="top"/>
    </xf>
    <xf numFmtId="49" fontId="20" fillId="0" borderId="2" xfId="0" applyNumberFormat="1" applyFont="1" applyFill="1" applyBorder="1" applyAlignment="1">
      <alignment horizontal="left" vertical="top" wrapText="1" indent="1"/>
    </xf>
    <xf numFmtId="0" fontId="20" fillId="0" borderId="6" xfId="0" applyFont="1" applyFill="1" applyBorder="1" applyAlignment="1">
      <alignment vertical="top" wrapText="1"/>
    </xf>
    <xf numFmtId="0" fontId="21" fillId="0" borderId="1" xfId="0" applyFont="1" applyFill="1" applyBorder="1" applyAlignment="1">
      <alignment horizontal="center" vertical="top" wrapText="1"/>
    </xf>
    <xf numFmtId="3" fontId="20" fillId="0" borderId="1" xfId="0" applyNumberFormat="1" applyFont="1" applyFill="1" applyBorder="1" applyAlignment="1">
      <alignment horizontal="center" vertical="top"/>
    </xf>
    <xf numFmtId="0" fontId="20" fillId="0" borderId="1" xfId="0" applyFont="1" applyFill="1" applyBorder="1" applyAlignment="1">
      <alignment horizontal="center" vertical="center"/>
    </xf>
    <xf numFmtId="0" fontId="20" fillId="0" borderId="0" xfId="0" applyFont="1" applyFill="1" applyAlignment="1">
      <alignment wrapText="1"/>
    </xf>
    <xf numFmtId="0" fontId="20" fillId="0" borderId="0" xfId="0" applyFont="1" applyFill="1"/>
    <xf numFmtId="0" fontId="1" fillId="0" borderId="1" xfId="0" applyFont="1" applyFill="1" applyBorder="1" applyAlignment="1">
      <alignment vertical="top" wrapText="1"/>
    </xf>
    <xf numFmtId="49" fontId="20" fillId="0" borderId="2" xfId="0" applyNumberFormat="1" applyFont="1" applyFill="1" applyBorder="1" applyAlignment="1">
      <alignment horizontal="center" vertical="top"/>
    </xf>
    <xf numFmtId="49" fontId="20" fillId="0" borderId="6" xfId="0" applyNumberFormat="1" applyFont="1" applyFill="1" applyBorder="1" applyAlignment="1">
      <alignment horizontal="center" vertical="top"/>
    </xf>
    <xf numFmtId="0" fontId="20" fillId="0" borderId="8" xfId="0" applyFont="1" applyFill="1" applyBorder="1" applyAlignment="1">
      <alignment horizontal="center" vertical="center"/>
    </xf>
    <xf numFmtId="0" fontId="22" fillId="0" borderId="0" xfId="0" applyFont="1" applyFill="1"/>
    <xf numFmtId="49" fontId="20" fillId="0" borderId="1" xfId="0" applyNumberFormat="1" applyFont="1" applyFill="1" applyBorder="1" applyAlignment="1">
      <alignment horizontal="center" vertical="top" wrapText="1"/>
    </xf>
    <xf numFmtId="0" fontId="20" fillId="0" borderId="2" xfId="0" applyFont="1" applyFill="1" applyBorder="1" applyAlignment="1">
      <alignment horizontal="center" vertical="center"/>
    </xf>
    <xf numFmtId="0" fontId="22" fillId="0" borderId="0" xfId="0" applyFont="1" applyFill="1" applyAlignment="1">
      <alignment wrapText="1"/>
    </xf>
    <xf numFmtId="49" fontId="20" fillId="0" borderId="4" xfId="0" applyNumberFormat="1" applyFont="1" applyFill="1" applyBorder="1" applyAlignment="1">
      <alignment horizontal="center" vertical="top"/>
    </xf>
    <xf numFmtId="49" fontId="23" fillId="0" borderId="2" xfId="0" applyNumberFormat="1" applyFont="1" applyFill="1" applyBorder="1" applyAlignment="1">
      <alignment horizontal="center" vertical="top"/>
    </xf>
    <xf numFmtId="49" fontId="23" fillId="0" borderId="6" xfId="0" applyNumberFormat="1" applyFont="1" applyFill="1" applyBorder="1" applyAlignment="1">
      <alignment horizontal="center" vertical="top"/>
    </xf>
    <xf numFmtId="0" fontId="24" fillId="0" borderId="2" xfId="0" applyFont="1" applyFill="1" applyBorder="1" applyAlignment="1">
      <alignment horizontal="center" vertical="top" wrapText="1"/>
    </xf>
    <xf numFmtId="3" fontId="23" fillId="0" borderId="2" xfId="0" applyNumberFormat="1" applyFont="1" applyFill="1" applyBorder="1" applyAlignment="1">
      <alignment horizontal="center" vertical="top"/>
    </xf>
    <xf numFmtId="0" fontId="23" fillId="0" borderId="8" xfId="0" applyFont="1" applyFill="1" applyBorder="1" applyAlignment="1">
      <alignment horizontal="center" vertical="center"/>
    </xf>
    <xf numFmtId="0" fontId="25" fillId="0" borderId="0" xfId="0" applyFont="1" applyFill="1"/>
    <xf numFmtId="0" fontId="23" fillId="0" borderId="0" xfId="0" applyFont="1" applyFill="1"/>
    <xf numFmtId="49" fontId="23" fillId="0" borderId="1" xfId="0" applyNumberFormat="1" applyFont="1" applyFill="1" applyBorder="1" applyAlignment="1">
      <alignment horizontal="center" vertical="top" wrapText="1"/>
    </xf>
    <xf numFmtId="3" fontId="23" fillId="0" borderId="4" xfId="0" applyNumberFormat="1" applyFont="1" applyFill="1" applyBorder="1" applyAlignment="1">
      <alignment horizontal="center" vertical="top"/>
    </xf>
    <xf numFmtId="49" fontId="23" fillId="0" borderId="2" xfId="0" applyNumberFormat="1" applyFont="1" applyFill="1" applyBorder="1" applyAlignment="1">
      <alignment horizontal="center" vertical="top" wrapText="1"/>
    </xf>
    <xf numFmtId="3" fontId="23" fillId="0" borderId="6" xfId="0" applyNumberFormat="1" applyFont="1" applyFill="1" applyBorder="1" applyAlignment="1">
      <alignment horizontal="center" vertical="top"/>
    </xf>
    <xf numFmtId="0" fontId="24" fillId="0" borderId="6" xfId="0" applyFont="1" applyFill="1" applyBorder="1" applyAlignment="1">
      <alignment horizontal="center" vertical="top" wrapText="1"/>
    </xf>
    <xf numFmtId="49" fontId="23" fillId="0" borderId="4" xfId="0" applyNumberFormat="1" applyFont="1" applyFill="1" applyBorder="1" applyAlignment="1">
      <alignment horizontal="center" vertical="top"/>
    </xf>
    <xf numFmtId="0" fontId="23" fillId="0" borderId="1" xfId="0" applyFont="1" applyFill="1" applyBorder="1" applyAlignment="1">
      <alignment horizontal="center" vertical="center"/>
    </xf>
    <xf numFmtId="49" fontId="23" fillId="0" borderId="1" xfId="0" applyNumberFormat="1" applyFont="1" applyFill="1" applyBorder="1" applyAlignment="1">
      <alignment horizontal="center" vertical="top"/>
    </xf>
    <xf numFmtId="0" fontId="24" fillId="0" borderId="4" xfId="0" applyFont="1" applyFill="1" applyBorder="1" applyAlignment="1">
      <alignment horizontal="center" vertical="top" wrapText="1"/>
    </xf>
    <xf numFmtId="0" fontId="23" fillId="0" borderId="6" xfId="0" applyFont="1" applyFill="1" applyBorder="1" applyAlignment="1">
      <alignment horizontal="center" vertical="center"/>
    </xf>
    <xf numFmtId="49" fontId="23" fillId="0" borderId="6" xfId="0" applyNumberFormat="1" applyFont="1" applyFill="1" applyBorder="1" applyAlignment="1">
      <alignment horizontal="center" vertical="top" wrapText="1"/>
    </xf>
    <xf numFmtId="49" fontId="23" fillId="0" borderId="4" xfId="0" applyNumberFormat="1" applyFont="1" applyFill="1" applyBorder="1" applyAlignment="1">
      <alignment horizontal="center" vertical="top" wrapText="1"/>
    </xf>
    <xf numFmtId="0" fontId="21" fillId="0" borderId="4" xfId="0" applyFont="1" applyFill="1" applyBorder="1" applyAlignment="1">
      <alignment horizontal="center" vertical="top" wrapText="1"/>
    </xf>
    <xf numFmtId="49" fontId="20" fillId="0" borderId="4" xfId="0" applyNumberFormat="1" applyFont="1" applyFill="1" applyBorder="1" applyAlignment="1">
      <alignment horizontal="center" vertical="top" wrapText="1"/>
    </xf>
    <xf numFmtId="3" fontId="20" fillId="0" borderId="4" xfId="0" applyNumberFormat="1" applyFont="1" applyFill="1" applyBorder="1" applyAlignment="1">
      <alignment horizontal="center" vertical="top"/>
    </xf>
    <xf numFmtId="49" fontId="20" fillId="0" borderId="4" xfId="0" applyNumberFormat="1" applyFont="1" applyFill="1" applyBorder="1" applyAlignment="1">
      <alignment horizontal="left" vertical="top" wrapText="1" indent="1"/>
    </xf>
    <xf numFmtId="49" fontId="11" fillId="0" borderId="2" xfId="0" applyNumberFormat="1" applyFont="1" applyFill="1" applyBorder="1" applyAlignment="1">
      <alignment horizontal="center" vertical="top"/>
    </xf>
    <xf numFmtId="0" fontId="20" fillId="0" borderId="6" xfId="0" applyFont="1" applyFill="1" applyBorder="1" applyAlignment="1">
      <alignment horizontal="left" vertical="top" wrapText="1" indent="1"/>
    </xf>
    <xf numFmtId="49" fontId="11" fillId="0" borderId="6" xfId="0" applyNumberFormat="1" applyFont="1" applyFill="1" applyBorder="1" applyAlignment="1">
      <alignment horizontal="center" vertical="top"/>
    </xf>
    <xf numFmtId="3" fontId="20" fillId="0" borderId="6" xfId="0" applyNumberFormat="1" applyFont="1" applyFill="1" applyBorder="1" applyAlignment="1">
      <alignment horizontal="center" vertical="top"/>
    </xf>
    <xf numFmtId="49" fontId="20" fillId="0" borderId="6" xfId="0" applyNumberFormat="1" applyFont="1" applyFill="1" applyBorder="1" applyAlignment="1">
      <alignment horizontal="left" vertical="top" wrapText="1" indent="1"/>
    </xf>
    <xf numFmtId="0" fontId="21" fillId="0" borderId="6" xfId="0" applyFont="1" applyFill="1" applyBorder="1" applyAlignment="1">
      <alignment horizontal="center" vertical="top" wrapText="1"/>
    </xf>
    <xf numFmtId="49" fontId="20" fillId="0" borderId="6" xfId="0" applyNumberFormat="1" applyFont="1" applyFill="1" applyBorder="1" applyAlignment="1">
      <alignment horizontal="center" vertical="top" wrapText="1"/>
    </xf>
    <xf numFmtId="0" fontId="20" fillId="0" borderId="6" xfId="0" applyFont="1" applyFill="1" applyBorder="1" applyAlignment="1">
      <alignment horizontal="center" vertical="center"/>
    </xf>
    <xf numFmtId="49" fontId="21" fillId="0" borderId="6" xfId="0" applyNumberFormat="1" applyFont="1" applyFill="1" applyBorder="1" applyAlignment="1">
      <alignment horizontal="center" vertical="top"/>
    </xf>
    <xf numFmtId="49" fontId="21" fillId="0" borderId="4" xfId="0" applyNumberFormat="1" applyFont="1" applyFill="1" applyBorder="1" applyAlignment="1">
      <alignment horizontal="center" vertical="top" wrapText="1"/>
    </xf>
    <xf numFmtId="49" fontId="21" fillId="0" borderId="6" xfId="0" applyNumberFormat="1" applyFont="1" applyFill="1" applyBorder="1" applyAlignment="1">
      <alignment horizontal="center" vertical="top" wrapText="1"/>
    </xf>
    <xf numFmtId="0" fontId="1" fillId="0" borderId="2" xfId="0" applyFont="1" applyFill="1" applyBorder="1" applyAlignment="1">
      <alignment horizontal="left" vertical="top" wrapText="1" indent="1"/>
    </xf>
    <xf numFmtId="0" fontId="1" fillId="0" borderId="6" xfId="0" applyFont="1" applyFill="1" applyBorder="1" applyAlignment="1">
      <alignment horizontal="left" vertical="top" wrapText="1" indent="1"/>
    </xf>
    <xf numFmtId="0" fontId="1" fillId="0" borderId="4" xfId="0" applyFont="1" applyFill="1" applyBorder="1" applyAlignment="1">
      <alignment horizontal="left" vertical="top" wrapText="1" indent="1"/>
    </xf>
    <xf numFmtId="49" fontId="1" fillId="0" borderId="2" xfId="0" applyNumberFormat="1" applyFont="1" applyFill="1" applyBorder="1" applyAlignment="1">
      <alignment horizontal="center" vertical="top"/>
    </xf>
    <xf numFmtId="49" fontId="1" fillId="0" borderId="4" xfId="0" applyNumberFormat="1" applyFont="1" applyFill="1" applyBorder="1" applyAlignment="1">
      <alignment horizontal="center" vertical="top"/>
    </xf>
    <xf numFmtId="49" fontId="2" fillId="0" borderId="2" xfId="0" applyNumberFormat="1" applyFont="1" applyFill="1" applyBorder="1" applyAlignment="1">
      <alignment horizontal="left" vertical="top" wrapText="1" indent="1"/>
    </xf>
    <xf numFmtId="49" fontId="2" fillId="0" borderId="6" xfId="0" applyNumberFormat="1" applyFont="1" applyFill="1" applyBorder="1" applyAlignment="1">
      <alignment horizontal="left" vertical="top" wrapText="1" indent="1"/>
    </xf>
    <xf numFmtId="0" fontId="2" fillId="0" borderId="2" xfId="0" applyFont="1" applyFill="1" applyBorder="1" applyAlignment="1">
      <alignment horizontal="left" vertical="top" wrapText="1" indent="1"/>
    </xf>
    <xf numFmtId="0" fontId="2" fillId="0" borderId="6" xfId="0" applyFont="1" applyFill="1" applyBorder="1" applyAlignment="1">
      <alignment horizontal="left" vertical="top" wrapText="1" indent="1"/>
    </xf>
    <xf numFmtId="0" fontId="2" fillId="0" borderId="4" xfId="0" applyFont="1" applyFill="1" applyBorder="1" applyAlignment="1">
      <alignment horizontal="left" vertical="top" wrapText="1" indent="1"/>
    </xf>
    <xf numFmtId="0" fontId="2" fillId="0" borderId="8" xfId="0" applyFont="1" applyFill="1" applyBorder="1" applyAlignment="1">
      <alignment horizontal="left" vertical="top" wrapText="1" indent="1"/>
    </xf>
    <xf numFmtId="2" fontId="1" fillId="0" borderId="6" xfId="0" applyNumberFormat="1" applyFont="1" applyFill="1" applyBorder="1" applyAlignment="1">
      <alignment horizontal="left" vertical="top" wrapText="1" indent="1"/>
    </xf>
    <xf numFmtId="0" fontId="1" fillId="0" borderId="1" xfId="0" applyFont="1" applyFill="1" applyBorder="1" applyAlignment="1">
      <alignment horizontal="center" vertical="center" wrapText="1"/>
    </xf>
    <xf numFmtId="49" fontId="2" fillId="0" borderId="4" xfId="0" applyNumberFormat="1" applyFont="1" applyFill="1" applyBorder="1" applyAlignment="1">
      <alignment horizontal="left" vertical="top" wrapText="1" indent="1"/>
    </xf>
    <xf numFmtId="0" fontId="11" fillId="0" borderId="2" xfId="0" applyFont="1" applyFill="1" applyBorder="1" applyAlignment="1">
      <alignment horizontal="left" vertical="top" wrapText="1" indent="1"/>
    </xf>
    <xf numFmtId="0" fontId="11" fillId="0" borderId="6" xfId="0" applyFont="1" applyFill="1" applyBorder="1" applyAlignment="1">
      <alignment horizontal="left" vertical="top" wrapText="1" indent="1"/>
    </xf>
    <xf numFmtId="0" fontId="11" fillId="0" borderId="4" xfId="0" applyFont="1" applyFill="1" applyBorder="1" applyAlignment="1">
      <alignment horizontal="left" vertical="top" wrapText="1" indent="1"/>
    </xf>
    <xf numFmtId="49" fontId="11" fillId="0" borderId="2" xfId="0" applyNumberFormat="1" applyFont="1" applyFill="1" applyBorder="1" applyAlignment="1">
      <alignment horizontal="left" vertical="top" wrapText="1" indent="1"/>
    </xf>
    <xf numFmtId="49" fontId="11" fillId="0" borderId="4" xfId="0" applyNumberFormat="1" applyFont="1" applyFill="1" applyBorder="1" applyAlignment="1">
      <alignment horizontal="left" vertical="top" wrapText="1" indent="1"/>
    </xf>
    <xf numFmtId="49" fontId="11" fillId="0" borderId="6" xfId="0" applyNumberFormat="1" applyFont="1" applyFill="1" applyBorder="1" applyAlignment="1">
      <alignment horizontal="left" vertical="top" wrapText="1" indent="1"/>
    </xf>
    <xf numFmtId="49" fontId="11" fillId="0" borderId="1" xfId="0" applyNumberFormat="1" applyFont="1" applyFill="1" applyBorder="1" applyAlignment="1">
      <alignment horizontal="left" vertical="top" wrapText="1" indent="1"/>
    </xf>
    <xf numFmtId="49" fontId="4" fillId="0" borderId="2" xfId="0" applyNumberFormat="1" applyFont="1" applyFill="1" applyBorder="1" applyAlignment="1">
      <alignment horizontal="left" vertical="top" wrapText="1" indent="1"/>
    </xf>
    <xf numFmtId="0" fontId="4" fillId="0" borderId="4" xfId="0" applyFont="1" applyFill="1" applyBorder="1" applyAlignment="1">
      <alignment horizontal="left" vertical="top" wrapText="1" indent="1"/>
    </xf>
    <xf numFmtId="0" fontId="12" fillId="0" borderId="2"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4" xfId="0" applyFont="1" applyFill="1" applyBorder="1" applyAlignment="1">
      <alignment horizontal="center" vertical="top" wrapText="1"/>
    </xf>
    <xf numFmtId="0" fontId="23" fillId="0" borderId="2" xfId="0" applyFont="1" applyFill="1" applyBorder="1" applyAlignment="1">
      <alignment horizontal="left" vertical="top" wrapText="1" indent="1"/>
    </xf>
    <xf numFmtId="0" fontId="23" fillId="0" borderId="4" xfId="0" applyFont="1" applyFill="1" applyBorder="1" applyAlignment="1">
      <alignment horizontal="left" vertical="top" wrapText="1" indent="1"/>
    </xf>
    <xf numFmtId="0" fontId="23" fillId="0" borderId="6" xfId="0" applyFont="1" applyFill="1" applyBorder="1" applyAlignment="1">
      <alignment horizontal="left" vertical="top" wrapText="1" indent="1"/>
    </xf>
    <xf numFmtId="0" fontId="20" fillId="0" borderId="2" xfId="0" applyFont="1" applyFill="1" applyBorder="1" applyAlignment="1">
      <alignment horizontal="left" vertical="top" wrapText="1" indent="1"/>
    </xf>
    <xf numFmtId="0" fontId="20" fillId="0" borderId="1" xfId="0" applyFont="1" applyFill="1" applyBorder="1" applyAlignment="1">
      <alignment horizontal="left" vertical="top" wrapText="1" indent="1"/>
    </xf>
    <xf numFmtId="0" fontId="20" fillId="0" borderId="4" xfId="0" applyFont="1" applyFill="1" applyBorder="1" applyAlignment="1">
      <alignment horizontal="center" vertical="center"/>
    </xf>
    <xf numFmtId="0" fontId="20" fillId="0" borderId="0" xfId="0" applyFont="1" applyFill="1" applyBorder="1" applyAlignment="1">
      <alignment horizontal="left" vertical="top" wrapText="1" indent="1"/>
    </xf>
    <xf numFmtId="0" fontId="20" fillId="0" borderId="4" xfId="0" applyFont="1" applyFill="1" applyBorder="1" applyAlignment="1">
      <alignment horizontal="left" vertical="top" wrapText="1" indent="1"/>
    </xf>
    <xf numFmtId="49" fontId="11" fillId="0" borderId="0" xfId="0" applyNumberFormat="1" applyFont="1" applyFill="1" applyBorder="1" applyAlignment="1">
      <alignment horizontal="center" vertical="top"/>
    </xf>
    <xf numFmtId="0" fontId="12" fillId="0" borderId="0" xfId="0" applyFont="1" applyFill="1" applyBorder="1" applyAlignment="1">
      <alignment horizontal="center" vertical="top" wrapText="1"/>
    </xf>
    <xf numFmtId="2" fontId="20" fillId="0" borderId="6" xfId="0" applyNumberFormat="1" applyFont="1" applyFill="1" applyBorder="1" applyAlignment="1">
      <alignment horizontal="left" vertical="top" wrapText="1" indent="1"/>
    </xf>
    <xf numFmtId="2" fontId="21" fillId="0" borderId="6" xfId="0" applyNumberFormat="1" applyFont="1" applyFill="1" applyBorder="1" applyAlignment="1">
      <alignment horizontal="center" vertical="top" wrapText="1"/>
    </xf>
    <xf numFmtId="49" fontId="23" fillId="0" borderId="10" xfId="0" applyNumberFormat="1" applyFont="1" applyFill="1" applyBorder="1" applyAlignment="1">
      <alignment horizontal="center" vertical="top"/>
    </xf>
    <xf numFmtId="0" fontId="23" fillId="0" borderId="0" xfId="0" applyFont="1" applyFill="1" applyBorder="1" applyAlignment="1">
      <alignment horizontal="left" vertical="top" wrapText="1" indent="1"/>
    </xf>
    <xf numFmtId="49" fontId="23" fillId="0" borderId="1" xfId="0" applyNumberFormat="1" applyFont="1" applyFill="1" applyBorder="1" applyAlignment="1">
      <alignment horizontal="left" vertical="top" wrapText="1" indent="1"/>
    </xf>
    <xf numFmtId="0" fontId="24" fillId="0" borderId="1" xfId="0" applyFont="1" applyFill="1" applyBorder="1" applyAlignment="1">
      <alignment horizontal="center" vertical="top" wrapText="1"/>
    </xf>
    <xf numFmtId="3" fontId="23" fillId="0" borderId="1" xfId="0" applyNumberFormat="1" applyFont="1" applyFill="1" applyBorder="1" applyAlignment="1">
      <alignment horizontal="center" vertical="top"/>
    </xf>
    <xf numFmtId="0" fontId="23" fillId="0" borderId="1" xfId="0" applyFont="1" applyFill="1" applyBorder="1" applyAlignment="1">
      <alignment horizontal="left" vertical="top" wrapText="1" indent="1"/>
    </xf>
    <xf numFmtId="49" fontId="23" fillId="0" borderId="2" xfId="0" applyNumberFormat="1" applyFont="1" applyFill="1" applyBorder="1" applyAlignment="1">
      <alignment horizontal="left" vertical="top" wrapText="1" indent="1"/>
    </xf>
    <xf numFmtId="49" fontId="23" fillId="0" borderId="6" xfId="0" applyNumberFormat="1" applyFont="1" applyFill="1" applyBorder="1" applyAlignment="1">
      <alignment horizontal="left" vertical="top" wrapText="1" indent="1"/>
    </xf>
    <xf numFmtId="0" fontId="23" fillId="0" borderId="0" xfId="0" applyFont="1" applyFill="1" applyBorder="1" applyAlignment="1">
      <alignment horizontal="center" vertical="center"/>
    </xf>
    <xf numFmtId="49" fontId="23" fillId="0" borderId="0" xfId="0" applyNumberFormat="1" applyFont="1" applyFill="1" applyBorder="1" applyAlignment="1">
      <alignment horizontal="center" vertical="top"/>
    </xf>
    <xf numFmtId="0" fontId="29" fillId="0" borderId="0" xfId="0" applyFont="1" applyFill="1" applyAlignment="1">
      <alignment horizontal="center" vertical="center"/>
    </xf>
    <xf numFmtId="0" fontId="3" fillId="0" borderId="0" xfId="0" applyFont="1" applyFill="1" applyAlignment="1">
      <alignment horizontal="left" indent="1"/>
    </xf>
    <xf numFmtId="0" fontId="47" fillId="0" borderId="1" xfId="0" applyFont="1" applyFill="1" applyBorder="1" applyAlignment="1">
      <alignment vertical="top" wrapText="1"/>
    </xf>
    <xf numFmtId="49" fontId="47" fillId="0" borderId="1" xfId="0" applyNumberFormat="1" applyFont="1" applyFill="1" applyBorder="1" applyAlignment="1">
      <alignment horizontal="center" vertical="top" wrapText="1"/>
    </xf>
    <xf numFmtId="2" fontId="47" fillId="0" borderId="1" xfId="0" applyNumberFormat="1" applyFont="1" applyFill="1" applyBorder="1" applyAlignment="1">
      <alignment horizontal="center" vertical="top" wrapText="1"/>
    </xf>
    <xf numFmtId="2" fontId="3" fillId="0" borderId="1" xfId="0" applyNumberFormat="1" applyFont="1" applyFill="1" applyBorder="1" applyAlignment="1">
      <alignment horizontal="left" vertical="top" wrapText="1" indent="1"/>
    </xf>
    <xf numFmtId="49" fontId="3" fillId="0" borderId="1" xfId="0" applyNumberFormat="1" applyFont="1" applyFill="1" applyBorder="1" applyAlignment="1">
      <alignment horizontal="center" vertical="top" wrapText="1"/>
    </xf>
    <xf numFmtId="0" fontId="47" fillId="0" borderId="1" xfId="0" applyFont="1" applyFill="1" applyBorder="1" applyAlignment="1">
      <alignment horizontal="center" vertical="top" wrapText="1"/>
    </xf>
    <xf numFmtId="0" fontId="3" fillId="0" borderId="1" xfId="0" applyFont="1" applyFill="1" applyBorder="1" applyAlignment="1">
      <alignment horizontal="left" vertical="top" wrapText="1" indent="1"/>
    </xf>
    <xf numFmtId="49" fontId="3" fillId="0" borderId="1" xfId="0" applyNumberFormat="1" applyFont="1" applyFill="1" applyBorder="1" applyAlignment="1">
      <alignment horizontal="left" vertical="top" wrapText="1" indent="1"/>
    </xf>
    <xf numFmtId="1" fontId="3" fillId="0" borderId="1" xfId="0" applyNumberFormat="1" applyFont="1" applyFill="1" applyBorder="1" applyAlignment="1">
      <alignment horizontal="center" vertical="top"/>
    </xf>
    <xf numFmtId="0" fontId="47" fillId="0" borderId="1" xfId="0" applyFont="1" applyFill="1" applyBorder="1" applyAlignment="1">
      <alignment horizontal="center" vertical="top"/>
    </xf>
    <xf numFmtId="0" fontId="3" fillId="0" borderId="1" xfId="0" applyFont="1" applyFill="1" applyBorder="1" applyAlignment="1">
      <alignment horizontal="center" vertical="center"/>
    </xf>
    <xf numFmtId="1" fontId="3" fillId="0" borderId="1" xfId="0" applyNumberFormat="1" applyFont="1" applyFill="1" applyBorder="1" applyAlignment="1">
      <alignment horizontal="center" vertical="center"/>
    </xf>
    <xf numFmtId="0" fontId="7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left" vertical="center" indent="1"/>
    </xf>
    <xf numFmtId="0" fontId="47" fillId="0" borderId="0" xfId="0" applyFont="1" applyFill="1" applyAlignment="1">
      <alignment horizontal="center" vertical="top"/>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xf numFmtId="1" fontId="3" fillId="0" borderId="0" xfId="0" applyNumberFormat="1" applyFont="1" applyFill="1"/>
    <xf numFmtId="3" fontId="3" fillId="0" borderId="1" xfId="0" applyNumberFormat="1" applyFont="1" applyFill="1" applyBorder="1" applyAlignment="1">
      <alignment horizontal="center" vertical="top"/>
    </xf>
    <xf numFmtId="0" fontId="76" fillId="0" borderId="0" xfId="0" applyFont="1" applyFill="1" applyAlignment="1">
      <alignment horizontal="center" vertical="center"/>
    </xf>
    <xf numFmtId="0" fontId="77" fillId="0" borderId="0" xfId="0" applyFont="1" applyFill="1" applyAlignment="1">
      <alignment vertical="center"/>
    </xf>
    <xf numFmtId="49" fontId="78" fillId="0" borderId="1" xfId="0" applyNumberFormat="1" applyFont="1" applyFill="1" applyBorder="1" applyAlignment="1">
      <alignment horizontal="left" vertical="top" wrapText="1" indent="1"/>
    </xf>
    <xf numFmtId="0" fontId="78" fillId="0" borderId="1" xfId="0" applyFont="1" applyBorder="1" applyAlignment="1">
      <alignment horizontal="left" vertical="top" wrapText="1" indent="1"/>
    </xf>
    <xf numFmtId="0" fontId="78" fillId="0" borderId="1" xfId="0" applyFont="1" applyFill="1" applyBorder="1" applyAlignment="1">
      <alignment horizontal="left" vertical="top" wrapText="1" indent="1"/>
    </xf>
    <xf numFmtId="3" fontId="79" fillId="0" borderId="0" xfId="0" applyNumberFormat="1" applyFont="1" applyFill="1" applyBorder="1" applyAlignment="1">
      <alignment horizontal="center" vertical="top"/>
    </xf>
    <xf numFmtId="0" fontId="3" fillId="0" borderId="2" xfId="0" applyFont="1" applyFill="1" applyBorder="1" applyAlignment="1">
      <alignment horizontal="left" vertical="top" wrapText="1" indent="1"/>
    </xf>
    <xf numFmtId="49" fontId="78" fillId="95" borderId="1" xfId="0" applyNumberFormat="1" applyFont="1" applyFill="1" applyBorder="1" applyAlignment="1">
      <alignment horizontal="left" vertical="top" wrapText="1" indent="1"/>
    </xf>
    <xf numFmtId="49" fontId="3" fillId="95" borderId="1" xfId="0" applyNumberFormat="1" applyFont="1" applyFill="1" applyBorder="1" applyAlignment="1">
      <alignment horizontal="left" vertical="top" wrapText="1" indent="1"/>
    </xf>
    <xf numFmtId="0" fontId="3" fillId="95" borderId="1" xfId="0" applyFont="1" applyFill="1" applyBorder="1" applyAlignment="1">
      <alignment horizontal="left" vertical="top" wrapText="1" indent="1"/>
    </xf>
    <xf numFmtId="49" fontId="3" fillId="95" borderId="1" xfId="0" applyNumberFormat="1" applyFont="1" applyFill="1" applyBorder="1" applyAlignment="1">
      <alignment horizontal="center" vertical="top"/>
    </xf>
    <xf numFmtId="49" fontId="3" fillId="95" borderId="1" xfId="0" applyNumberFormat="1" applyFont="1" applyFill="1" applyBorder="1" applyAlignment="1">
      <alignment horizontal="center" vertical="top" wrapText="1"/>
    </xf>
    <xf numFmtId="3" fontId="3" fillId="95" borderId="1" xfId="0" applyNumberFormat="1" applyFont="1" applyFill="1" applyBorder="1" applyAlignment="1">
      <alignment horizontal="center" vertical="top"/>
    </xf>
    <xf numFmtId="0" fontId="47" fillId="95"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2" xfId="0" applyFont="1" applyFill="1" applyBorder="1" applyAlignment="1">
      <alignment horizontal="left" vertical="top" wrapText="1" indent="1"/>
    </xf>
    <xf numFmtId="49" fontId="78" fillId="0" borderId="2" xfId="0" applyNumberFormat="1" applyFont="1" applyFill="1" applyBorder="1" applyAlignment="1">
      <alignment horizontal="left" vertical="top" wrapText="1" indent="1"/>
    </xf>
    <xf numFmtId="0" fontId="47" fillId="0" borderId="2" xfId="0" applyFont="1" applyFill="1" applyBorder="1" applyAlignment="1">
      <alignment horizontal="center" vertical="top" wrapText="1"/>
    </xf>
    <xf numFmtId="49" fontId="3" fillId="0" borderId="2" xfId="0" applyNumberFormat="1" applyFont="1" applyFill="1" applyBorder="1" applyAlignment="1">
      <alignment horizontal="center" vertical="top"/>
    </xf>
    <xf numFmtId="3" fontId="3" fillId="0" borderId="2" xfId="0" applyNumberFormat="1" applyFont="1" applyFill="1" applyBorder="1" applyAlignment="1">
      <alignment horizontal="center" vertical="top"/>
    </xf>
    <xf numFmtId="49" fontId="3" fillId="0" borderId="1" xfId="0" applyNumberFormat="1" applyFont="1" applyFill="1" applyBorder="1" applyAlignment="1">
      <alignment horizontal="left" vertical="top" indent="1"/>
    </xf>
    <xf numFmtId="3" fontId="3" fillId="0" borderId="1" xfId="0" applyNumberFormat="1" applyFont="1" applyFill="1" applyBorder="1" applyAlignment="1">
      <alignment horizontal="left" vertical="top" indent="1"/>
    </xf>
    <xf numFmtId="0" fontId="3" fillId="0" borderId="1" xfId="0" applyFont="1" applyFill="1" applyBorder="1" applyAlignment="1">
      <alignment horizontal="left" wrapText="1" indent="1"/>
    </xf>
    <xf numFmtId="0" fontId="3" fillId="0" borderId="2" xfId="0" applyFont="1" applyFill="1" applyBorder="1" applyAlignment="1">
      <alignment horizontal="left" vertical="top" wrapText="1" indent="1"/>
    </xf>
    <xf numFmtId="49" fontId="3" fillId="0" borderId="2" xfId="0" applyNumberFormat="1" applyFont="1" applyFill="1" applyBorder="1" applyAlignment="1">
      <alignment horizontal="center" vertical="top" wrapText="1"/>
    </xf>
    <xf numFmtId="0" fontId="9" fillId="0" borderId="1" xfId="0" applyFont="1" applyFill="1" applyBorder="1" applyAlignment="1">
      <alignment horizontal="left" vertical="top" wrapText="1" indent="1"/>
    </xf>
    <xf numFmtId="0" fontId="78" fillId="0" borderId="1"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2" fillId="0" borderId="1" xfId="0" applyFont="1" applyBorder="1" applyAlignment="1">
      <alignment horizontal="left" vertical="top" wrapText="1" indent="1"/>
    </xf>
    <xf numFmtId="0" fontId="3" fillId="0" borderId="1" xfId="1" applyFont="1" applyFill="1" applyBorder="1" applyAlignment="1" applyProtection="1">
      <alignment horizontal="left" vertical="center" wrapText="1" indent="1"/>
    </xf>
    <xf numFmtId="0" fontId="3" fillId="0" borderId="1" xfId="1" applyFont="1" applyFill="1" applyBorder="1" applyAlignment="1" applyProtection="1">
      <alignment horizontal="center" vertical="top" wrapText="1"/>
    </xf>
    <xf numFmtId="0" fontId="3" fillId="0" borderId="0" xfId="0" applyFont="1" applyFill="1" applyAlignment="1">
      <alignment vertical="top"/>
    </xf>
    <xf numFmtId="17" fontId="3" fillId="0" borderId="0" xfId="0" applyNumberFormat="1" applyFont="1" applyFill="1"/>
    <xf numFmtId="49" fontId="3" fillId="0" borderId="29" xfId="1" applyNumberFormat="1" applyFont="1" applyFill="1" applyBorder="1" applyAlignment="1">
      <alignment horizontal="center" vertical="top" wrapText="1"/>
    </xf>
    <xf numFmtId="0" fontId="3" fillId="0" borderId="0" xfId="0" applyFont="1" applyFill="1" applyBorder="1"/>
    <xf numFmtId="3" fontId="3" fillId="0" borderId="0" xfId="0" applyNumberFormat="1" applyFont="1" applyFill="1" applyBorder="1" applyAlignment="1">
      <alignment horizontal="center" vertical="top"/>
    </xf>
    <xf numFmtId="0" fontId="3" fillId="0" borderId="1" xfId="1" applyFont="1" applyFill="1" applyBorder="1" applyAlignment="1" applyProtection="1">
      <alignment horizontal="left" vertical="top" wrapText="1" indent="1"/>
    </xf>
    <xf numFmtId="14" fontId="3" fillId="0" borderId="0" xfId="0" applyNumberFormat="1" applyFont="1" applyFill="1"/>
    <xf numFmtId="49" fontId="3" fillId="0" borderId="0" xfId="0" applyNumberFormat="1" applyFont="1" applyFill="1"/>
    <xf numFmtId="0" fontId="3" fillId="0" borderId="2" xfId="0" applyFont="1" applyFill="1" applyBorder="1" applyAlignment="1">
      <alignment horizontal="left" vertical="top" wrapText="1" indent="1"/>
    </xf>
    <xf numFmtId="0" fontId="3" fillId="0" borderId="1" xfId="0" applyFont="1" applyBorder="1" applyAlignment="1">
      <alignment horizontal="left" vertical="top" wrapText="1" inden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xf>
    <xf numFmtId="49" fontId="2" fillId="0" borderId="1" xfId="0" applyNumberFormat="1" applyFont="1" applyBorder="1" applyAlignment="1">
      <alignment horizontal="center" vertical="top" wrapText="1"/>
    </xf>
    <xf numFmtId="3" fontId="2" fillId="0" borderId="1" xfId="0" applyNumberFormat="1" applyFont="1" applyBorder="1" applyAlignment="1">
      <alignment horizontal="center" vertical="top"/>
    </xf>
    <xf numFmtId="0" fontId="3" fillId="0" borderId="1" xfId="0" applyFont="1" applyBorder="1" applyAlignment="1">
      <alignment horizontal="center" vertical="top"/>
    </xf>
    <xf numFmtId="0" fontId="1" fillId="0" borderId="2" xfId="0" applyFont="1" applyFill="1" applyBorder="1" applyAlignment="1">
      <alignment horizontal="left" vertical="top" wrapText="1" indent="1"/>
    </xf>
    <xf numFmtId="0" fontId="1" fillId="0" borderId="6" xfId="0" applyFont="1" applyFill="1" applyBorder="1" applyAlignment="1">
      <alignment horizontal="left" vertical="top" wrapText="1" indent="1"/>
    </xf>
    <xf numFmtId="0" fontId="1" fillId="0" borderId="4" xfId="0" applyFont="1" applyFill="1" applyBorder="1" applyAlignment="1">
      <alignment horizontal="left" vertical="top" wrapText="1" indent="1"/>
    </xf>
    <xf numFmtId="0" fontId="1" fillId="0" borderId="2" xfId="0" applyFont="1" applyBorder="1" applyAlignment="1">
      <alignment horizontal="left" vertical="top" wrapText="1" indent="1"/>
    </xf>
    <xf numFmtId="0" fontId="1" fillId="0" borderId="6" xfId="0" applyFont="1" applyBorder="1" applyAlignment="1">
      <alignment horizontal="left" vertical="top" wrapText="1" indent="1"/>
    </xf>
    <xf numFmtId="0" fontId="1" fillId="0" borderId="4" xfId="0" applyFont="1" applyBorder="1" applyAlignment="1">
      <alignment horizontal="left" vertical="top" wrapText="1" indent="1"/>
    </xf>
    <xf numFmtId="2" fontId="1" fillId="0" borderId="2" xfId="0" applyNumberFormat="1" applyFont="1" applyBorder="1" applyAlignment="1">
      <alignment horizontal="left" vertical="top" wrapText="1" indent="1"/>
    </xf>
    <xf numFmtId="2" fontId="1" fillId="0" borderId="6" xfId="0" applyNumberFormat="1" applyFont="1" applyBorder="1" applyAlignment="1">
      <alignment horizontal="left" vertical="top" wrapText="1" indent="1"/>
    </xf>
    <xf numFmtId="2" fontId="1" fillId="0" borderId="4" xfId="0" applyNumberFormat="1" applyFont="1" applyBorder="1" applyAlignment="1">
      <alignment horizontal="left" vertical="top" wrapText="1" indent="1"/>
    </xf>
    <xf numFmtId="0" fontId="2" fillId="0" borderId="0" xfId="0" applyFont="1" applyAlignment="1">
      <alignment horizontal="left"/>
    </xf>
    <xf numFmtId="49" fontId="1" fillId="0" borderId="2" xfId="0" applyNumberFormat="1" applyFont="1" applyFill="1" applyBorder="1" applyAlignment="1">
      <alignment horizontal="center" vertical="top"/>
    </xf>
    <xf numFmtId="49" fontId="1" fillId="0" borderId="4" xfId="0" applyNumberFormat="1" applyFont="1" applyFill="1" applyBorder="1" applyAlignment="1">
      <alignment horizontal="center" vertical="top"/>
    </xf>
    <xf numFmtId="3" fontId="1" fillId="0" borderId="2" xfId="0" applyNumberFormat="1" applyFont="1" applyBorder="1" applyAlignment="1">
      <alignment horizontal="center" vertical="top"/>
    </xf>
    <xf numFmtId="3" fontId="1" fillId="0" borderId="4" xfId="0" applyNumberFormat="1" applyFont="1" applyBorder="1" applyAlignment="1">
      <alignment horizontal="center" vertical="top"/>
    </xf>
    <xf numFmtId="0" fontId="2" fillId="2" borderId="2" xfId="0" applyFont="1" applyFill="1" applyBorder="1" applyAlignment="1">
      <alignment horizontal="left" vertical="top" wrapText="1" indent="1"/>
    </xf>
    <xf numFmtId="0" fontId="2" fillId="2" borderId="6" xfId="0" applyFont="1" applyFill="1" applyBorder="1" applyAlignment="1">
      <alignment horizontal="left" vertical="top" wrapText="1" indent="1"/>
    </xf>
    <xf numFmtId="0" fontId="2" fillId="2" borderId="4" xfId="0" applyFont="1" applyFill="1" applyBorder="1" applyAlignment="1">
      <alignment horizontal="left" vertical="top" wrapText="1" indent="1"/>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2" fillId="0" borderId="2" xfId="0" applyNumberFormat="1" applyFont="1" applyFill="1" applyBorder="1" applyAlignment="1">
      <alignment horizontal="left" vertical="top" wrapText="1" indent="1"/>
    </xf>
    <xf numFmtId="49" fontId="2" fillId="0" borderId="6" xfId="0" applyNumberFormat="1" applyFont="1" applyFill="1" applyBorder="1" applyAlignment="1">
      <alignment horizontal="left" vertical="top" wrapText="1" indent="1"/>
    </xf>
    <xf numFmtId="49" fontId="2" fillId="0" borderId="9" xfId="0" applyNumberFormat="1" applyFont="1" applyFill="1" applyBorder="1" applyAlignment="1">
      <alignment horizontal="left" vertical="top" wrapText="1" indent="1"/>
    </xf>
    <xf numFmtId="49" fontId="2" fillId="0" borderId="7" xfId="0" applyNumberFormat="1" applyFont="1" applyFill="1" applyBorder="1" applyAlignment="1">
      <alignment horizontal="left" vertical="top" wrapText="1" indent="1"/>
    </xf>
    <xf numFmtId="0" fontId="2" fillId="0" borderId="2" xfId="0" applyFont="1" applyFill="1" applyBorder="1" applyAlignment="1">
      <alignment horizontal="left" vertical="top" wrapText="1" indent="1"/>
    </xf>
    <xf numFmtId="0" fontId="2" fillId="0" borderId="6" xfId="0" applyFont="1" applyFill="1" applyBorder="1" applyAlignment="1">
      <alignment horizontal="left" vertical="top" wrapText="1" indent="1"/>
    </xf>
    <xf numFmtId="0" fontId="2" fillId="0" borderId="4" xfId="0" applyFont="1" applyFill="1" applyBorder="1" applyAlignment="1">
      <alignment horizontal="left" vertical="top" wrapText="1" indent="1"/>
    </xf>
    <xf numFmtId="0" fontId="2" fillId="0" borderId="8" xfId="0" applyFont="1" applyFill="1" applyBorder="1" applyAlignment="1">
      <alignment horizontal="left" vertical="top" wrapText="1" indent="1"/>
    </xf>
    <xf numFmtId="0" fontId="2" fillId="0" borderId="9" xfId="0" applyFont="1" applyFill="1" applyBorder="1" applyAlignment="1">
      <alignment horizontal="left" vertical="top" wrapText="1" indent="1"/>
    </xf>
    <xf numFmtId="0" fontId="2" fillId="0" borderId="7" xfId="0" applyFont="1" applyFill="1" applyBorder="1" applyAlignment="1">
      <alignment horizontal="left" vertical="top" wrapText="1" indent="1"/>
    </xf>
    <xf numFmtId="2" fontId="1" fillId="0" borderId="6" xfId="0" applyNumberFormat="1" applyFont="1" applyFill="1" applyBorder="1" applyAlignment="1">
      <alignment horizontal="left" vertical="top" wrapText="1" inden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2" fillId="0" borderId="0" xfId="0" applyFont="1" applyFill="1" applyAlignment="1">
      <alignment horizontal="left"/>
    </xf>
    <xf numFmtId="2" fontId="1" fillId="0" borderId="2" xfId="0" applyNumberFormat="1" applyFont="1" applyFill="1" applyBorder="1" applyAlignment="1">
      <alignment horizontal="left" vertical="top" wrapText="1" indent="1"/>
    </xf>
    <xf numFmtId="2" fontId="1" fillId="0" borderId="4" xfId="0" applyNumberFormat="1" applyFont="1" applyFill="1" applyBorder="1" applyAlignment="1">
      <alignment horizontal="left" vertical="top" wrapText="1" indent="1"/>
    </xf>
    <xf numFmtId="49" fontId="2" fillId="0" borderId="4" xfId="0" applyNumberFormat="1" applyFont="1" applyFill="1" applyBorder="1" applyAlignment="1">
      <alignment horizontal="left" vertical="top" wrapText="1" indent="1"/>
    </xf>
    <xf numFmtId="0" fontId="11" fillId="0" borderId="2" xfId="0" applyFont="1" applyFill="1" applyBorder="1" applyAlignment="1">
      <alignment horizontal="left" vertical="top" wrapText="1" indent="1"/>
    </xf>
    <xf numFmtId="0" fontId="11" fillId="0" borderId="6" xfId="0" applyFont="1" applyFill="1" applyBorder="1" applyAlignment="1">
      <alignment horizontal="left" vertical="top" wrapText="1" indent="1"/>
    </xf>
    <xf numFmtId="0" fontId="11" fillId="0" borderId="4" xfId="0" applyFont="1" applyFill="1" applyBorder="1" applyAlignment="1">
      <alignment horizontal="left" vertical="top" wrapText="1" indent="1"/>
    </xf>
    <xf numFmtId="49" fontId="11" fillId="0" borderId="2" xfId="0" applyNumberFormat="1" applyFont="1" applyFill="1" applyBorder="1" applyAlignment="1">
      <alignment horizontal="left" vertical="top" wrapText="1" indent="1"/>
    </xf>
    <xf numFmtId="49" fontId="11" fillId="0" borderId="4" xfId="0" applyNumberFormat="1" applyFont="1" applyFill="1" applyBorder="1" applyAlignment="1">
      <alignment horizontal="left" vertical="top" wrapText="1" indent="1"/>
    </xf>
    <xf numFmtId="49" fontId="11" fillId="0" borderId="6" xfId="0" applyNumberFormat="1" applyFont="1" applyFill="1" applyBorder="1" applyAlignment="1">
      <alignment horizontal="left" vertical="top" wrapText="1" indent="1"/>
    </xf>
    <xf numFmtId="49" fontId="11" fillId="0" borderId="1" xfId="0" applyNumberFormat="1" applyFont="1" applyFill="1" applyBorder="1" applyAlignment="1">
      <alignment horizontal="left" vertical="top" wrapText="1" indent="1"/>
    </xf>
    <xf numFmtId="49" fontId="4" fillId="0" borderId="2" xfId="0" applyNumberFormat="1" applyFont="1" applyFill="1" applyBorder="1" applyAlignment="1">
      <alignment horizontal="left" vertical="top" wrapText="1" indent="1"/>
    </xf>
    <xf numFmtId="49" fontId="4" fillId="0" borderId="6" xfId="0" applyNumberFormat="1" applyFont="1" applyFill="1" applyBorder="1" applyAlignment="1">
      <alignment horizontal="left" vertical="top" wrapText="1" indent="1"/>
    </xf>
    <xf numFmtId="49" fontId="4" fillId="0" borderId="4" xfId="0" applyNumberFormat="1" applyFont="1" applyFill="1" applyBorder="1" applyAlignment="1">
      <alignment horizontal="left" vertical="top" wrapText="1" indent="1"/>
    </xf>
    <xf numFmtId="0" fontId="4" fillId="0" borderId="2" xfId="0" applyFont="1" applyFill="1" applyBorder="1" applyAlignment="1">
      <alignment horizontal="left" vertical="top" wrapText="1" indent="1"/>
    </xf>
    <xf numFmtId="0" fontId="4" fillId="0" borderId="6" xfId="0" applyFont="1" applyFill="1" applyBorder="1" applyAlignment="1">
      <alignment horizontal="left" vertical="top" wrapText="1" indent="1"/>
    </xf>
    <xf numFmtId="0" fontId="4" fillId="0" borderId="4" xfId="0" applyFont="1" applyFill="1" applyBorder="1" applyAlignment="1">
      <alignment horizontal="left" vertical="top" wrapText="1" indent="1"/>
    </xf>
    <xf numFmtId="0" fontId="11" fillId="0" borderId="9" xfId="0" applyFont="1" applyFill="1" applyBorder="1" applyAlignment="1">
      <alignment horizontal="left" vertical="top" wrapText="1" indent="1"/>
    </xf>
    <xf numFmtId="0" fontId="11" fillId="0" borderId="7" xfId="0" applyFont="1" applyFill="1" applyBorder="1" applyAlignment="1">
      <alignment horizontal="left" vertical="top" wrapText="1" inden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2"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4" xfId="0" applyFont="1" applyFill="1" applyBorder="1" applyAlignment="1">
      <alignment horizontal="center" vertical="top" wrapText="1"/>
    </xf>
    <xf numFmtId="0" fontId="23" fillId="0" borderId="2" xfId="0" applyFont="1" applyFill="1" applyBorder="1" applyAlignment="1">
      <alignment horizontal="left" vertical="top" wrapText="1" indent="1"/>
    </xf>
    <xf numFmtId="0" fontId="23" fillId="0" borderId="4" xfId="0" applyFont="1" applyFill="1" applyBorder="1" applyAlignment="1">
      <alignment horizontal="left" vertical="top" wrapText="1" indent="1"/>
    </xf>
    <xf numFmtId="0" fontId="23" fillId="0" borderId="6" xfId="0" applyFont="1" applyFill="1" applyBorder="1" applyAlignment="1">
      <alignment horizontal="left" vertical="top" wrapText="1" indent="1"/>
    </xf>
    <xf numFmtId="0" fontId="23" fillId="0" borderId="1" xfId="0" applyFont="1" applyFill="1" applyBorder="1" applyAlignment="1">
      <alignment horizontal="left" vertical="top" wrapText="1" indent="1"/>
    </xf>
    <xf numFmtId="49" fontId="23" fillId="0" borderId="2" xfId="0" applyNumberFormat="1" applyFont="1" applyFill="1" applyBorder="1" applyAlignment="1">
      <alignment horizontal="left" vertical="top" wrapText="1" indent="1"/>
    </xf>
    <xf numFmtId="49" fontId="23" fillId="0" borderId="6" xfId="0" applyNumberFormat="1" applyFont="1" applyFill="1" applyBorder="1" applyAlignment="1">
      <alignment horizontal="left" vertical="top" wrapText="1" indent="1"/>
    </xf>
    <xf numFmtId="49" fontId="23" fillId="0" borderId="4" xfId="0" applyNumberFormat="1" applyFont="1" applyFill="1" applyBorder="1" applyAlignment="1">
      <alignment horizontal="left" vertical="top" wrapText="1" indent="1"/>
    </xf>
    <xf numFmtId="0" fontId="20" fillId="0" borderId="1" xfId="0" applyFont="1" applyFill="1" applyBorder="1" applyAlignment="1">
      <alignment horizontal="left" vertical="top" wrapText="1" indent="1"/>
    </xf>
    <xf numFmtId="0" fontId="20" fillId="0" borderId="2" xfId="0" applyFont="1" applyFill="1" applyBorder="1" applyAlignment="1">
      <alignment horizontal="left" vertical="top" wrapText="1" indent="1"/>
    </xf>
    <xf numFmtId="0" fontId="20" fillId="0" borderId="4" xfId="0" applyFont="1" applyFill="1" applyBorder="1" applyAlignment="1">
      <alignment horizontal="left" vertical="top" wrapText="1" indent="1"/>
    </xf>
    <xf numFmtId="0" fontId="3" fillId="0" borderId="2" xfId="0" applyFont="1" applyFill="1" applyBorder="1" applyAlignment="1">
      <alignment horizontal="left" vertical="top" wrapText="1" indent="1"/>
    </xf>
    <xf numFmtId="0" fontId="0" fillId="0" borderId="6" xfId="0" applyFill="1" applyBorder="1" applyAlignment="1">
      <alignment horizontal="left" vertical="top" wrapText="1" indent="1"/>
    </xf>
    <xf numFmtId="0" fontId="0" fillId="0" borderId="4" xfId="0" applyFill="1" applyBorder="1" applyAlignment="1">
      <alignment horizontal="left" vertical="top" wrapText="1" inden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49" fontId="47" fillId="0" borderId="2" xfId="0" applyNumberFormat="1" applyFont="1" applyFill="1" applyBorder="1" applyAlignment="1">
      <alignment horizontal="center" vertical="center" wrapText="1"/>
    </xf>
    <xf numFmtId="49" fontId="47" fillId="0" borderId="4"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8" fillId="0" borderId="1" xfId="0" applyFont="1" applyFill="1" applyBorder="1" applyAlignment="1">
      <alignment horizontal="left" vertical="top" indent="1"/>
    </xf>
    <xf numFmtId="0" fontId="78" fillId="95" borderId="1" xfId="0" applyFont="1" applyFill="1" applyBorder="1" applyAlignment="1">
      <alignment horizontal="left" vertical="top" wrapText="1" indent="1"/>
    </xf>
    <xf numFmtId="0" fontId="78" fillId="0" borderId="2" xfId="0" applyFont="1" applyFill="1" applyBorder="1" applyAlignment="1">
      <alignment horizontal="left" vertical="top" wrapText="1" indent="1"/>
    </xf>
  </cellXfs>
  <cellStyles count="2976">
    <cellStyle name="20% - Акцент1 2" xfId="3" xr:uid="{00000000-0005-0000-0000-000000000000}"/>
    <cellStyle name="20% — акцент1 2" xfId="4" xr:uid="{00000000-0005-0000-0000-000001000000}"/>
    <cellStyle name="20% - Акцент1 2 2" xfId="5" xr:uid="{00000000-0005-0000-0000-000002000000}"/>
    <cellStyle name="20% - Акцент1 2 3" xfId="6" xr:uid="{00000000-0005-0000-0000-000003000000}"/>
    <cellStyle name="20% - Акцент1 3" xfId="7" xr:uid="{00000000-0005-0000-0000-000004000000}"/>
    <cellStyle name="20% — акцент1 3" xfId="8" xr:uid="{00000000-0005-0000-0000-000005000000}"/>
    <cellStyle name="20% - Акцент1 4" xfId="9" xr:uid="{00000000-0005-0000-0000-000006000000}"/>
    <cellStyle name="20% — акцент1 4" xfId="10" xr:uid="{00000000-0005-0000-0000-000007000000}"/>
    <cellStyle name="20% - Акцент1 5" xfId="11" xr:uid="{00000000-0005-0000-0000-000008000000}"/>
    <cellStyle name="20% — акцент1 5" xfId="12" xr:uid="{00000000-0005-0000-0000-000009000000}"/>
    <cellStyle name="20% - Акцент1 6" xfId="13" xr:uid="{00000000-0005-0000-0000-00000A000000}"/>
    <cellStyle name="20% - Акцент1 7" xfId="14" xr:uid="{00000000-0005-0000-0000-00000B000000}"/>
    <cellStyle name="20% - Акцент1 8" xfId="15" xr:uid="{00000000-0005-0000-0000-00000C000000}"/>
    <cellStyle name="20% - Акцент2" xfId="16" xr:uid="{00000000-0005-0000-0000-00000D000000}"/>
    <cellStyle name="20% - Акцент2 2" xfId="17" xr:uid="{00000000-0005-0000-0000-00000E000000}"/>
    <cellStyle name="20% — акцент2 2" xfId="18" xr:uid="{00000000-0005-0000-0000-00000F000000}"/>
    <cellStyle name="20% - Акцент2 2 2" xfId="19" xr:uid="{00000000-0005-0000-0000-000010000000}"/>
    <cellStyle name="20% - Акцент2 2 3" xfId="20" xr:uid="{00000000-0005-0000-0000-000011000000}"/>
    <cellStyle name="20% - Акцент2 3" xfId="21" xr:uid="{00000000-0005-0000-0000-000012000000}"/>
    <cellStyle name="20% — акцент2 3" xfId="22" xr:uid="{00000000-0005-0000-0000-000013000000}"/>
    <cellStyle name="20% - Акцент2 4" xfId="23" xr:uid="{00000000-0005-0000-0000-000014000000}"/>
    <cellStyle name="20% — акцент2 4" xfId="24" xr:uid="{00000000-0005-0000-0000-000015000000}"/>
    <cellStyle name="20% - Акцент2 5" xfId="25" xr:uid="{00000000-0005-0000-0000-000016000000}"/>
    <cellStyle name="20% — акцент2 5" xfId="26" xr:uid="{00000000-0005-0000-0000-000017000000}"/>
    <cellStyle name="20% - Акцент2 6" xfId="27" xr:uid="{00000000-0005-0000-0000-000018000000}"/>
    <cellStyle name="20% - Акцент2 7" xfId="28" xr:uid="{00000000-0005-0000-0000-000019000000}"/>
    <cellStyle name="20% - Акцент2 8" xfId="29" xr:uid="{00000000-0005-0000-0000-00001A000000}"/>
    <cellStyle name="20% - Акцент3" xfId="30" xr:uid="{00000000-0005-0000-0000-00001B000000}"/>
    <cellStyle name="20% - Акцент3 2" xfId="31" xr:uid="{00000000-0005-0000-0000-00001C000000}"/>
    <cellStyle name="20% — акцент3 2" xfId="32" xr:uid="{00000000-0005-0000-0000-00001D000000}"/>
    <cellStyle name="20% - Акцент3 2 2" xfId="33" xr:uid="{00000000-0005-0000-0000-00001E000000}"/>
    <cellStyle name="20% - Акцент3 2 3" xfId="34" xr:uid="{00000000-0005-0000-0000-00001F000000}"/>
    <cellStyle name="20% - Акцент3 3" xfId="35" xr:uid="{00000000-0005-0000-0000-000020000000}"/>
    <cellStyle name="20% — акцент3 3" xfId="36" xr:uid="{00000000-0005-0000-0000-000021000000}"/>
    <cellStyle name="20% - Акцент3 4" xfId="37" xr:uid="{00000000-0005-0000-0000-000022000000}"/>
    <cellStyle name="20% — акцент3 4" xfId="38" xr:uid="{00000000-0005-0000-0000-000023000000}"/>
    <cellStyle name="20% - Акцент3 5" xfId="39" xr:uid="{00000000-0005-0000-0000-000024000000}"/>
    <cellStyle name="20% — акцент3 5" xfId="40" xr:uid="{00000000-0005-0000-0000-000025000000}"/>
    <cellStyle name="20% - Акцент3 6" xfId="41" xr:uid="{00000000-0005-0000-0000-000026000000}"/>
    <cellStyle name="20% - Акцент3 7" xfId="42" xr:uid="{00000000-0005-0000-0000-000027000000}"/>
    <cellStyle name="20% - Акцент3 8" xfId="43" xr:uid="{00000000-0005-0000-0000-000028000000}"/>
    <cellStyle name="20% - Акцент4" xfId="44" xr:uid="{00000000-0005-0000-0000-000029000000}"/>
    <cellStyle name="20% - Акцент4 2" xfId="45" xr:uid="{00000000-0005-0000-0000-00002A000000}"/>
    <cellStyle name="20% — акцент4 2" xfId="46" xr:uid="{00000000-0005-0000-0000-00002B000000}"/>
    <cellStyle name="20% - Акцент4 2 2" xfId="47" xr:uid="{00000000-0005-0000-0000-00002C000000}"/>
    <cellStyle name="20% - Акцент4 2 3" xfId="48" xr:uid="{00000000-0005-0000-0000-00002D000000}"/>
    <cellStyle name="20% - Акцент4 3" xfId="49" xr:uid="{00000000-0005-0000-0000-00002E000000}"/>
    <cellStyle name="20% — акцент4 3" xfId="50" xr:uid="{00000000-0005-0000-0000-00002F000000}"/>
    <cellStyle name="20% - Акцент4 4" xfId="51" xr:uid="{00000000-0005-0000-0000-000030000000}"/>
    <cellStyle name="20% — акцент4 4" xfId="52" xr:uid="{00000000-0005-0000-0000-000031000000}"/>
    <cellStyle name="20% - Акцент4 5" xfId="53" xr:uid="{00000000-0005-0000-0000-000032000000}"/>
    <cellStyle name="20% — акцент4 5" xfId="54" xr:uid="{00000000-0005-0000-0000-000033000000}"/>
    <cellStyle name="20% - Акцент4 6" xfId="55" xr:uid="{00000000-0005-0000-0000-000034000000}"/>
    <cellStyle name="20% - Акцент4 7" xfId="56" xr:uid="{00000000-0005-0000-0000-000035000000}"/>
    <cellStyle name="20% - Акцент4 8" xfId="57" xr:uid="{00000000-0005-0000-0000-000036000000}"/>
    <cellStyle name="20% - Акцент5" xfId="58" xr:uid="{00000000-0005-0000-0000-000037000000}"/>
    <cellStyle name="20% - Акцент5 2" xfId="59" xr:uid="{00000000-0005-0000-0000-000038000000}"/>
    <cellStyle name="20% — акцент5 2" xfId="60" xr:uid="{00000000-0005-0000-0000-000039000000}"/>
    <cellStyle name="20% - Акцент5 2 2" xfId="61" xr:uid="{00000000-0005-0000-0000-00003A000000}"/>
    <cellStyle name="20% - Акцент5 2 3" xfId="62" xr:uid="{00000000-0005-0000-0000-00003B000000}"/>
    <cellStyle name="20% - Акцент5 3" xfId="63" xr:uid="{00000000-0005-0000-0000-00003C000000}"/>
    <cellStyle name="20% — акцент5 3" xfId="64" xr:uid="{00000000-0005-0000-0000-00003D000000}"/>
    <cellStyle name="20% - Акцент5 4" xfId="65" xr:uid="{00000000-0005-0000-0000-00003E000000}"/>
    <cellStyle name="20% — акцент5 4" xfId="66" xr:uid="{00000000-0005-0000-0000-00003F000000}"/>
    <cellStyle name="20% - Акцент5 5" xfId="67" xr:uid="{00000000-0005-0000-0000-000040000000}"/>
    <cellStyle name="20% — акцент5 5" xfId="68" xr:uid="{00000000-0005-0000-0000-000041000000}"/>
    <cellStyle name="20% - Акцент5 6" xfId="69" xr:uid="{00000000-0005-0000-0000-000042000000}"/>
    <cellStyle name="20% - Акцент5 7" xfId="70" xr:uid="{00000000-0005-0000-0000-000043000000}"/>
    <cellStyle name="20% - Акцент5 8" xfId="71" xr:uid="{00000000-0005-0000-0000-000044000000}"/>
    <cellStyle name="20% - Акцент6" xfId="72" xr:uid="{00000000-0005-0000-0000-000045000000}"/>
    <cellStyle name="20% - Акцент6 2" xfId="73" xr:uid="{00000000-0005-0000-0000-000046000000}"/>
    <cellStyle name="20% — акцент6 2" xfId="74" xr:uid="{00000000-0005-0000-0000-000047000000}"/>
    <cellStyle name="20% - Акцент6 2 2" xfId="75" xr:uid="{00000000-0005-0000-0000-000048000000}"/>
    <cellStyle name="20% - Акцент6 2 3" xfId="76" xr:uid="{00000000-0005-0000-0000-000049000000}"/>
    <cellStyle name="20% - Акцент6 3" xfId="77" xr:uid="{00000000-0005-0000-0000-00004A000000}"/>
    <cellStyle name="20% — акцент6 3" xfId="78" xr:uid="{00000000-0005-0000-0000-00004B000000}"/>
    <cellStyle name="20% - Акцент6 4" xfId="79" xr:uid="{00000000-0005-0000-0000-00004C000000}"/>
    <cellStyle name="20% — акцент6 4" xfId="80" xr:uid="{00000000-0005-0000-0000-00004D000000}"/>
    <cellStyle name="20% - Акцент6 5" xfId="81" xr:uid="{00000000-0005-0000-0000-00004E000000}"/>
    <cellStyle name="20% — акцент6 5" xfId="82" xr:uid="{00000000-0005-0000-0000-00004F000000}"/>
    <cellStyle name="20% - Акцент6 6" xfId="83" xr:uid="{00000000-0005-0000-0000-000050000000}"/>
    <cellStyle name="20% - Акцент6 7" xfId="84" xr:uid="{00000000-0005-0000-0000-000051000000}"/>
    <cellStyle name="20% - Акцент6 8" xfId="85" xr:uid="{00000000-0005-0000-0000-000052000000}"/>
    <cellStyle name="40% - Акцент1" xfId="86" xr:uid="{00000000-0005-0000-0000-000053000000}"/>
    <cellStyle name="40% - Акцент1 2" xfId="87" xr:uid="{00000000-0005-0000-0000-000054000000}"/>
    <cellStyle name="40% — акцент1 2" xfId="88" xr:uid="{00000000-0005-0000-0000-000055000000}"/>
    <cellStyle name="40% - Акцент1 2 2" xfId="89" xr:uid="{00000000-0005-0000-0000-000056000000}"/>
    <cellStyle name="40% - Акцент1 2 3" xfId="90" xr:uid="{00000000-0005-0000-0000-000057000000}"/>
    <cellStyle name="40% - Акцент1 3" xfId="91" xr:uid="{00000000-0005-0000-0000-000058000000}"/>
    <cellStyle name="40% — акцент1 3" xfId="92" xr:uid="{00000000-0005-0000-0000-000059000000}"/>
    <cellStyle name="40% - Акцент1 4" xfId="93" xr:uid="{00000000-0005-0000-0000-00005A000000}"/>
    <cellStyle name="40% — акцент1 4" xfId="94" xr:uid="{00000000-0005-0000-0000-00005B000000}"/>
    <cellStyle name="40% - Акцент1 5" xfId="95" xr:uid="{00000000-0005-0000-0000-00005C000000}"/>
    <cellStyle name="40% — акцент1 5" xfId="96" xr:uid="{00000000-0005-0000-0000-00005D000000}"/>
    <cellStyle name="40% - Акцент1 6" xfId="97" xr:uid="{00000000-0005-0000-0000-00005E000000}"/>
    <cellStyle name="40% - Акцент1 7" xfId="98" xr:uid="{00000000-0005-0000-0000-00005F000000}"/>
    <cellStyle name="40% - Акцент1 8" xfId="99" xr:uid="{00000000-0005-0000-0000-000060000000}"/>
    <cellStyle name="40% - Акцент2" xfId="100" xr:uid="{00000000-0005-0000-0000-000061000000}"/>
    <cellStyle name="40% - Акцент2 2" xfId="101" xr:uid="{00000000-0005-0000-0000-000062000000}"/>
    <cellStyle name="40% — акцент2 2" xfId="102" xr:uid="{00000000-0005-0000-0000-000063000000}"/>
    <cellStyle name="40% - Акцент2 2 2" xfId="103" xr:uid="{00000000-0005-0000-0000-000064000000}"/>
    <cellStyle name="40% - Акцент2 2 3" xfId="104" xr:uid="{00000000-0005-0000-0000-000065000000}"/>
    <cellStyle name="40% - Акцент2 3" xfId="105" xr:uid="{00000000-0005-0000-0000-000066000000}"/>
    <cellStyle name="40% — акцент2 3" xfId="106" xr:uid="{00000000-0005-0000-0000-000067000000}"/>
    <cellStyle name="40% - Акцент2 4" xfId="107" xr:uid="{00000000-0005-0000-0000-000068000000}"/>
    <cellStyle name="40% — акцент2 4" xfId="108" xr:uid="{00000000-0005-0000-0000-000069000000}"/>
    <cellStyle name="40% - Акцент2 5" xfId="109" xr:uid="{00000000-0005-0000-0000-00006A000000}"/>
    <cellStyle name="40% — акцент2 5" xfId="110" xr:uid="{00000000-0005-0000-0000-00006B000000}"/>
    <cellStyle name="40% - Акцент2 6" xfId="111" xr:uid="{00000000-0005-0000-0000-00006C000000}"/>
    <cellStyle name="40% - Акцент2 7" xfId="112" xr:uid="{00000000-0005-0000-0000-00006D000000}"/>
    <cellStyle name="40% - Акцент2 8" xfId="113" xr:uid="{00000000-0005-0000-0000-00006E000000}"/>
    <cellStyle name="40% - Акцент3" xfId="114" xr:uid="{00000000-0005-0000-0000-00006F000000}"/>
    <cellStyle name="40% - Акцент3 2" xfId="115" xr:uid="{00000000-0005-0000-0000-000070000000}"/>
    <cellStyle name="40% — акцент3 2" xfId="116" xr:uid="{00000000-0005-0000-0000-000071000000}"/>
    <cellStyle name="40% - Акцент3 2 2" xfId="117" xr:uid="{00000000-0005-0000-0000-000072000000}"/>
    <cellStyle name="40% - Акцент3 2 3" xfId="118" xr:uid="{00000000-0005-0000-0000-000073000000}"/>
    <cellStyle name="40% - Акцент3 3" xfId="119" xr:uid="{00000000-0005-0000-0000-000074000000}"/>
    <cellStyle name="40% — акцент3 3" xfId="120" xr:uid="{00000000-0005-0000-0000-000075000000}"/>
    <cellStyle name="40% - Акцент3 4" xfId="121" xr:uid="{00000000-0005-0000-0000-000076000000}"/>
    <cellStyle name="40% — акцент3 4" xfId="122" xr:uid="{00000000-0005-0000-0000-000077000000}"/>
    <cellStyle name="40% - Акцент3 5" xfId="123" xr:uid="{00000000-0005-0000-0000-000078000000}"/>
    <cellStyle name="40% — акцент3 5" xfId="124" xr:uid="{00000000-0005-0000-0000-000079000000}"/>
    <cellStyle name="40% - Акцент3 6" xfId="125" xr:uid="{00000000-0005-0000-0000-00007A000000}"/>
    <cellStyle name="40% - Акцент3 7" xfId="126" xr:uid="{00000000-0005-0000-0000-00007B000000}"/>
    <cellStyle name="40% - Акцент3 8" xfId="127" xr:uid="{00000000-0005-0000-0000-00007C000000}"/>
    <cellStyle name="40% - Акцент4" xfId="128" xr:uid="{00000000-0005-0000-0000-00007D000000}"/>
    <cellStyle name="40% - Акцент4 2" xfId="129" xr:uid="{00000000-0005-0000-0000-00007E000000}"/>
    <cellStyle name="40% — акцент4 2" xfId="130" xr:uid="{00000000-0005-0000-0000-00007F000000}"/>
    <cellStyle name="40% - Акцент4 2 2" xfId="131" xr:uid="{00000000-0005-0000-0000-000080000000}"/>
    <cellStyle name="40% - Акцент4 2 3" xfId="132" xr:uid="{00000000-0005-0000-0000-000081000000}"/>
    <cellStyle name="40% - Акцент4 3" xfId="133" xr:uid="{00000000-0005-0000-0000-000082000000}"/>
    <cellStyle name="40% — акцент4 3" xfId="134" xr:uid="{00000000-0005-0000-0000-000083000000}"/>
    <cellStyle name="40% - Акцент4 4" xfId="135" xr:uid="{00000000-0005-0000-0000-000084000000}"/>
    <cellStyle name="40% — акцент4 4" xfId="136" xr:uid="{00000000-0005-0000-0000-000085000000}"/>
    <cellStyle name="40% - Акцент4 5" xfId="137" xr:uid="{00000000-0005-0000-0000-000086000000}"/>
    <cellStyle name="40% — акцент4 5" xfId="138" xr:uid="{00000000-0005-0000-0000-000087000000}"/>
    <cellStyle name="40% - Акцент4 6" xfId="139" xr:uid="{00000000-0005-0000-0000-000088000000}"/>
    <cellStyle name="40% - Акцент4 7" xfId="140" xr:uid="{00000000-0005-0000-0000-000089000000}"/>
    <cellStyle name="40% - Акцент4 8" xfId="141" xr:uid="{00000000-0005-0000-0000-00008A000000}"/>
    <cellStyle name="40% - Акцент5" xfId="142" xr:uid="{00000000-0005-0000-0000-00008B000000}"/>
    <cellStyle name="40% - Акцент5 2" xfId="143" xr:uid="{00000000-0005-0000-0000-00008C000000}"/>
    <cellStyle name="40% — акцент5 2" xfId="144" xr:uid="{00000000-0005-0000-0000-00008D000000}"/>
    <cellStyle name="40% - Акцент5 2 2" xfId="145" xr:uid="{00000000-0005-0000-0000-00008E000000}"/>
    <cellStyle name="40% - Акцент5 2 3" xfId="146" xr:uid="{00000000-0005-0000-0000-00008F000000}"/>
    <cellStyle name="40% - Акцент5 3" xfId="147" xr:uid="{00000000-0005-0000-0000-000090000000}"/>
    <cellStyle name="40% — акцент5 3" xfId="148" xr:uid="{00000000-0005-0000-0000-000091000000}"/>
    <cellStyle name="40% - Акцент5 4" xfId="149" xr:uid="{00000000-0005-0000-0000-000092000000}"/>
    <cellStyle name="40% — акцент5 4" xfId="150" xr:uid="{00000000-0005-0000-0000-000093000000}"/>
    <cellStyle name="40% - Акцент5 5" xfId="151" xr:uid="{00000000-0005-0000-0000-000094000000}"/>
    <cellStyle name="40% — акцент5 5" xfId="152" xr:uid="{00000000-0005-0000-0000-000095000000}"/>
    <cellStyle name="40% - Акцент5 6" xfId="153" xr:uid="{00000000-0005-0000-0000-000096000000}"/>
    <cellStyle name="40% - Акцент5 7" xfId="154" xr:uid="{00000000-0005-0000-0000-000097000000}"/>
    <cellStyle name="40% - Акцент5 8" xfId="155" xr:uid="{00000000-0005-0000-0000-000098000000}"/>
    <cellStyle name="40% - Акцент6" xfId="156" xr:uid="{00000000-0005-0000-0000-000099000000}"/>
    <cellStyle name="40% - Акцент6 2" xfId="157" xr:uid="{00000000-0005-0000-0000-00009A000000}"/>
    <cellStyle name="40% — акцент6 2" xfId="158" xr:uid="{00000000-0005-0000-0000-00009B000000}"/>
    <cellStyle name="40% - Акцент6 2 2" xfId="159" xr:uid="{00000000-0005-0000-0000-00009C000000}"/>
    <cellStyle name="40% - Акцент6 2 3" xfId="160" xr:uid="{00000000-0005-0000-0000-00009D000000}"/>
    <cellStyle name="40% - Акцент6 3" xfId="161" xr:uid="{00000000-0005-0000-0000-00009E000000}"/>
    <cellStyle name="40% — акцент6 3" xfId="162" xr:uid="{00000000-0005-0000-0000-00009F000000}"/>
    <cellStyle name="40% - Акцент6 4" xfId="163" xr:uid="{00000000-0005-0000-0000-0000A0000000}"/>
    <cellStyle name="40% — акцент6 4" xfId="164" xr:uid="{00000000-0005-0000-0000-0000A1000000}"/>
    <cellStyle name="40% - Акцент6 5" xfId="165" xr:uid="{00000000-0005-0000-0000-0000A2000000}"/>
    <cellStyle name="40% — акцент6 5" xfId="166" xr:uid="{00000000-0005-0000-0000-0000A3000000}"/>
    <cellStyle name="40% - Акцент6 6" xfId="167" xr:uid="{00000000-0005-0000-0000-0000A4000000}"/>
    <cellStyle name="40% - Акцент6 7" xfId="168" xr:uid="{00000000-0005-0000-0000-0000A5000000}"/>
    <cellStyle name="40% - Акцент6 8" xfId="169" xr:uid="{00000000-0005-0000-0000-0000A6000000}"/>
    <cellStyle name="60% - Акцент1" xfId="170" xr:uid="{00000000-0005-0000-0000-0000A7000000}"/>
    <cellStyle name="60% - Акцент1 2" xfId="171" xr:uid="{00000000-0005-0000-0000-0000A8000000}"/>
    <cellStyle name="60% — акцент1 2" xfId="172" xr:uid="{00000000-0005-0000-0000-0000A9000000}"/>
    <cellStyle name="60% - Акцент1 2 2" xfId="173" xr:uid="{00000000-0005-0000-0000-0000AA000000}"/>
    <cellStyle name="60% - Акцент1 2 3" xfId="174" xr:uid="{00000000-0005-0000-0000-0000AB000000}"/>
    <cellStyle name="60% - Акцент1 3" xfId="175" xr:uid="{00000000-0005-0000-0000-0000AC000000}"/>
    <cellStyle name="60% — акцент1 3" xfId="176" xr:uid="{00000000-0005-0000-0000-0000AD000000}"/>
    <cellStyle name="60% - Акцент1 4" xfId="177" xr:uid="{00000000-0005-0000-0000-0000AE000000}"/>
    <cellStyle name="60% — акцент1 4" xfId="178" xr:uid="{00000000-0005-0000-0000-0000AF000000}"/>
    <cellStyle name="60% - Акцент1 5" xfId="179" xr:uid="{00000000-0005-0000-0000-0000B0000000}"/>
    <cellStyle name="60% — акцент1 5" xfId="180" xr:uid="{00000000-0005-0000-0000-0000B1000000}"/>
    <cellStyle name="60% - Акцент1 6" xfId="181" xr:uid="{00000000-0005-0000-0000-0000B2000000}"/>
    <cellStyle name="60% - Акцент1 7" xfId="182" xr:uid="{00000000-0005-0000-0000-0000B3000000}"/>
    <cellStyle name="60% - Акцент1 8" xfId="183" xr:uid="{00000000-0005-0000-0000-0000B4000000}"/>
    <cellStyle name="60% - Акцент2" xfId="184" xr:uid="{00000000-0005-0000-0000-0000B5000000}"/>
    <cellStyle name="60% - Акцент2 2" xfId="185" xr:uid="{00000000-0005-0000-0000-0000B6000000}"/>
    <cellStyle name="60% — акцент2 2" xfId="186" xr:uid="{00000000-0005-0000-0000-0000B7000000}"/>
    <cellStyle name="60% - Акцент2 2 2" xfId="187" xr:uid="{00000000-0005-0000-0000-0000B8000000}"/>
    <cellStyle name="60% - Акцент2 2 3" xfId="188" xr:uid="{00000000-0005-0000-0000-0000B9000000}"/>
    <cellStyle name="60% - Акцент2 3" xfId="189" xr:uid="{00000000-0005-0000-0000-0000BA000000}"/>
    <cellStyle name="60% — акцент2 3" xfId="190" xr:uid="{00000000-0005-0000-0000-0000BB000000}"/>
    <cellStyle name="60% - Акцент2 4" xfId="191" xr:uid="{00000000-0005-0000-0000-0000BC000000}"/>
    <cellStyle name="60% — акцент2 4" xfId="192" xr:uid="{00000000-0005-0000-0000-0000BD000000}"/>
    <cellStyle name="60% - Акцент2 5" xfId="193" xr:uid="{00000000-0005-0000-0000-0000BE000000}"/>
    <cellStyle name="60% — акцент2 5" xfId="194" xr:uid="{00000000-0005-0000-0000-0000BF000000}"/>
    <cellStyle name="60% - Акцент2 6" xfId="195" xr:uid="{00000000-0005-0000-0000-0000C0000000}"/>
    <cellStyle name="60% - Акцент2 7" xfId="196" xr:uid="{00000000-0005-0000-0000-0000C1000000}"/>
    <cellStyle name="60% - Акцент2 8" xfId="197" xr:uid="{00000000-0005-0000-0000-0000C2000000}"/>
    <cellStyle name="60% - Акцент3" xfId="198" xr:uid="{00000000-0005-0000-0000-0000C3000000}"/>
    <cellStyle name="60% - Акцент3 2" xfId="199" xr:uid="{00000000-0005-0000-0000-0000C4000000}"/>
    <cellStyle name="60% — акцент3 2" xfId="200" xr:uid="{00000000-0005-0000-0000-0000C5000000}"/>
    <cellStyle name="60% - Акцент3 2 2" xfId="201" xr:uid="{00000000-0005-0000-0000-0000C6000000}"/>
    <cellStyle name="60% - Акцент3 2 3" xfId="202" xr:uid="{00000000-0005-0000-0000-0000C7000000}"/>
    <cellStyle name="60% - Акцент3 3" xfId="203" xr:uid="{00000000-0005-0000-0000-0000C8000000}"/>
    <cellStyle name="60% — акцент3 3" xfId="204" xr:uid="{00000000-0005-0000-0000-0000C9000000}"/>
    <cellStyle name="60% - Акцент3 4" xfId="205" xr:uid="{00000000-0005-0000-0000-0000CA000000}"/>
    <cellStyle name="60% — акцент3 4" xfId="206" xr:uid="{00000000-0005-0000-0000-0000CB000000}"/>
    <cellStyle name="60% - Акцент3 5" xfId="207" xr:uid="{00000000-0005-0000-0000-0000CC000000}"/>
    <cellStyle name="60% — акцент3 5" xfId="208" xr:uid="{00000000-0005-0000-0000-0000CD000000}"/>
    <cellStyle name="60% - Акцент3 6" xfId="209" xr:uid="{00000000-0005-0000-0000-0000CE000000}"/>
    <cellStyle name="60% - Акцент3 7" xfId="210" xr:uid="{00000000-0005-0000-0000-0000CF000000}"/>
    <cellStyle name="60% - Акцент3 8" xfId="211" xr:uid="{00000000-0005-0000-0000-0000D0000000}"/>
    <cellStyle name="60% - Акцент4" xfId="212" xr:uid="{00000000-0005-0000-0000-0000D1000000}"/>
    <cellStyle name="60% - Акцент4 2" xfId="213" xr:uid="{00000000-0005-0000-0000-0000D2000000}"/>
    <cellStyle name="60% — акцент4 2" xfId="214" xr:uid="{00000000-0005-0000-0000-0000D3000000}"/>
    <cellStyle name="60% - Акцент4 2 2" xfId="215" xr:uid="{00000000-0005-0000-0000-0000D4000000}"/>
    <cellStyle name="60% - Акцент4 2 3" xfId="216" xr:uid="{00000000-0005-0000-0000-0000D5000000}"/>
    <cellStyle name="60% - Акцент4 3" xfId="217" xr:uid="{00000000-0005-0000-0000-0000D6000000}"/>
    <cellStyle name="60% — акцент4 3" xfId="218" xr:uid="{00000000-0005-0000-0000-0000D7000000}"/>
    <cellStyle name="60% - Акцент4 4" xfId="219" xr:uid="{00000000-0005-0000-0000-0000D8000000}"/>
    <cellStyle name="60% — акцент4 4" xfId="220" xr:uid="{00000000-0005-0000-0000-0000D9000000}"/>
    <cellStyle name="60% - Акцент4 5" xfId="221" xr:uid="{00000000-0005-0000-0000-0000DA000000}"/>
    <cellStyle name="60% — акцент4 5" xfId="222" xr:uid="{00000000-0005-0000-0000-0000DB000000}"/>
    <cellStyle name="60% - Акцент4 6" xfId="223" xr:uid="{00000000-0005-0000-0000-0000DC000000}"/>
    <cellStyle name="60% - Акцент4 7" xfId="224" xr:uid="{00000000-0005-0000-0000-0000DD000000}"/>
    <cellStyle name="60% - Акцент4 8" xfId="225" xr:uid="{00000000-0005-0000-0000-0000DE000000}"/>
    <cellStyle name="60% - Акцент5" xfId="226" xr:uid="{00000000-0005-0000-0000-0000DF000000}"/>
    <cellStyle name="60% - Акцент5 2" xfId="227" xr:uid="{00000000-0005-0000-0000-0000E0000000}"/>
    <cellStyle name="60% — акцент5 2" xfId="228" xr:uid="{00000000-0005-0000-0000-0000E1000000}"/>
    <cellStyle name="60% - Акцент5 2 2" xfId="229" xr:uid="{00000000-0005-0000-0000-0000E2000000}"/>
    <cellStyle name="60% - Акцент5 2 3" xfId="230" xr:uid="{00000000-0005-0000-0000-0000E3000000}"/>
    <cellStyle name="60% - Акцент5 3" xfId="231" xr:uid="{00000000-0005-0000-0000-0000E4000000}"/>
    <cellStyle name="60% — акцент5 3" xfId="232" xr:uid="{00000000-0005-0000-0000-0000E5000000}"/>
    <cellStyle name="60% - Акцент5 4" xfId="233" xr:uid="{00000000-0005-0000-0000-0000E6000000}"/>
    <cellStyle name="60% — акцент5 4" xfId="234" xr:uid="{00000000-0005-0000-0000-0000E7000000}"/>
    <cellStyle name="60% - Акцент5 5" xfId="235" xr:uid="{00000000-0005-0000-0000-0000E8000000}"/>
    <cellStyle name="60% — акцент5 5" xfId="236" xr:uid="{00000000-0005-0000-0000-0000E9000000}"/>
    <cellStyle name="60% - Акцент5 6" xfId="237" xr:uid="{00000000-0005-0000-0000-0000EA000000}"/>
    <cellStyle name="60% - Акцент5 7" xfId="238" xr:uid="{00000000-0005-0000-0000-0000EB000000}"/>
    <cellStyle name="60% - Акцент5 8" xfId="239" xr:uid="{00000000-0005-0000-0000-0000EC000000}"/>
    <cellStyle name="60% - Акцент6" xfId="240" xr:uid="{00000000-0005-0000-0000-0000ED000000}"/>
    <cellStyle name="60% - Акцент6 2" xfId="241" xr:uid="{00000000-0005-0000-0000-0000EE000000}"/>
    <cellStyle name="60% — акцент6 2" xfId="242" xr:uid="{00000000-0005-0000-0000-0000EF000000}"/>
    <cellStyle name="60% - Акцент6 2 2" xfId="243" xr:uid="{00000000-0005-0000-0000-0000F0000000}"/>
    <cellStyle name="60% - Акцент6 2 3" xfId="244" xr:uid="{00000000-0005-0000-0000-0000F1000000}"/>
    <cellStyle name="60% - Акцент6 3" xfId="245" xr:uid="{00000000-0005-0000-0000-0000F2000000}"/>
    <cellStyle name="60% — акцент6 3" xfId="246" xr:uid="{00000000-0005-0000-0000-0000F3000000}"/>
    <cellStyle name="60% - Акцент6 4" xfId="247" xr:uid="{00000000-0005-0000-0000-0000F4000000}"/>
    <cellStyle name="60% — акцент6 4" xfId="248" xr:uid="{00000000-0005-0000-0000-0000F5000000}"/>
    <cellStyle name="60% - Акцент6 5" xfId="249" xr:uid="{00000000-0005-0000-0000-0000F6000000}"/>
    <cellStyle name="60% — акцент6 5" xfId="250" xr:uid="{00000000-0005-0000-0000-0000F7000000}"/>
    <cellStyle name="60% - Акцент6 6" xfId="251" xr:uid="{00000000-0005-0000-0000-0000F8000000}"/>
    <cellStyle name="60% - Акцент6 7" xfId="252" xr:uid="{00000000-0005-0000-0000-0000F9000000}"/>
    <cellStyle name="60% - Акцент6 8" xfId="253" xr:uid="{00000000-0005-0000-0000-0000FA000000}"/>
    <cellStyle name="Normal_Sheet" xfId="254" xr:uid="{00000000-0005-0000-0000-0000FB000000}"/>
    <cellStyle name="Акт" xfId="255" xr:uid="{00000000-0005-0000-0000-0000FC000000}"/>
    <cellStyle name="АктМТСН" xfId="256" xr:uid="{00000000-0005-0000-0000-0000FD000000}"/>
    <cellStyle name="АктМТСН 10" xfId="257" xr:uid="{00000000-0005-0000-0000-0000FE000000}"/>
    <cellStyle name="АктМТСН 11" xfId="258" xr:uid="{00000000-0005-0000-0000-0000FF000000}"/>
    <cellStyle name="АктМТСН 12" xfId="259" xr:uid="{00000000-0005-0000-0000-000000010000}"/>
    <cellStyle name="АктМТСН 13" xfId="260" xr:uid="{00000000-0005-0000-0000-000001010000}"/>
    <cellStyle name="АктМТСН 14" xfId="261" xr:uid="{00000000-0005-0000-0000-000002010000}"/>
    <cellStyle name="АктМТСН 15" xfId="262" xr:uid="{00000000-0005-0000-0000-000003010000}"/>
    <cellStyle name="АктМТСН 16" xfId="263" xr:uid="{00000000-0005-0000-0000-000004010000}"/>
    <cellStyle name="АктМТСН 17" xfId="264" xr:uid="{00000000-0005-0000-0000-000005010000}"/>
    <cellStyle name="АктМТСН 18" xfId="265" xr:uid="{00000000-0005-0000-0000-000006010000}"/>
    <cellStyle name="АктМТСН 2" xfId="266" xr:uid="{00000000-0005-0000-0000-000007010000}"/>
    <cellStyle name="АктМТСН 3" xfId="267" xr:uid="{00000000-0005-0000-0000-000008010000}"/>
    <cellStyle name="АктМТСН 4" xfId="268" xr:uid="{00000000-0005-0000-0000-000009010000}"/>
    <cellStyle name="АктМТСН 5" xfId="269" xr:uid="{00000000-0005-0000-0000-00000A010000}"/>
    <cellStyle name="АктМТСН 6" xfId="270" xr:uid="{00000000-0005-0000-0000-00000B010000}"/>
    <cellStyle name="АктМТСН 7" xfId="271" xr:uid="{00000000-0005-0000-0000-00000C010000}"/>
    <cellStyle name="АктМТСН 8" xfId="272" xr:uid="{00000000-0005-0000-0000-00000D010000}"/>
    <cellStyle name="АктМТСН 9" xfId="273" xr:uid="{00000000-0005-0000-0000-00000E010000}"/>
    <cellStyle name="Акцент1 2" xfId="274" xr:uid="{00000000-0005-0000-0000-00000F010000}"/>
    <cellStyle name="Акцент1 3" xfId="275" xr:uid="{00000000-0005-0000-0000-000010010000}"/>
    <cellStyle name="Акцент1 4" xfId="276" xr:uid="{00000000-0005-0000-0000-000011010000}"/>
    <cellStyle name="Акцент1 5" xfId="277" xr:uid="{00000000-0005-0000-0000-000012010000}"/>
    <cellStyle name="Акцент2 2" xfId="278" xr:uid="{00000000-0005-0000-0000-000013010000}"/>
    <cellStyle name="Акцент2 3" xfId="279" xr:uid="{00000000-0005-0000-0000-000014010000}"/>
    <cellStyle name="Акцент2 4" xfId="280" xr:uid="{00000000-0005-0000-0000-000015010000}"/>
    <cellStyle name="Акцент2 5" xfId="281" xr:uid="{00000000-0005-0000-0000-000016010000}"/>
    <cellStyle name="Акцент3 2" xfId="282" xr:uid="{00000000-0005-0000-0000-000017010000}"/>
    <cellStyle name="Акцент3 3" xfId="283" xr:uid="{00000000-0005-0000-0000-000018010000}"/>
    <cellStyle name="Акцент3 4" xfId="284" xr:uid="{00000000-0005-0000-0000-000019010000}"/>
    <cellStyle name="Акцент3 5" xfId="285" xr:uid="{00000000-0005-0000-0000-00001A010000}"/>
    <cellStyle name="Акцент4 2" xfId="286" xr:uid="{00000000-0005-0000-0000-00001B010000}"/>
    <cellStyle name="Акцент4 3" xfId="287" xr:uid="{00000000-0005-0000-0000-00001C010000}"/>
    <cellStyle name="Акцент4 4" xfId="288" xr:uid="{00000000-0005-0000-0000-00001D010000}"/>
    <cellStyle name="Акцент4 5" xfId="289" xr:uid="{00000000-0005-0000-0000-00001E010000}"/>
    <cellStyle name="Акцент5 2" xfId="290" xr:uid="{00000000-0005-0000-0000-00001F010000}"/>
    <cellStyle name="Акцент5 3" xfId="291" xr:uid="{00000000-0005-0000-0000-000020010000}"/>
    <cellStyle name="Акцент5 4" xfId="292" xr:uid="{00000000-0005-0000-0000-000021010000}"/>
    <cellStyle name="Акцент5 5" xfId="293" xr:uid="{00000000-0005-0000-0000-000022010000}"/>
    <cellStyle name="Акцент6 2" xfId="294" xr:uid="{00000000-0005-0000-0000-000023010000}"/>
    <cellStyle name="Акцент6 3" xfId="295" xr:uid="{00000000-0005-0000-0000-000024010000}"/>
    <cellStyle name="Акцент6 4" xfId="296" xr:uid="{00000000-0005-0000-0000-000025010000}"/>
    <cellStyle name="Акцент6 5" xfId="297" xr:uid="{00000000-0005-0000-0000-000026010000}"/>
    <cellStyle name="Ввод  2" xfId="298" xr:uid="{00000000-0005-0000-0000-000027010000}"/>
    <cellStyle name="Ввод  3" xfId="299" xr:uid="{00000000-0005-0000-0000-000028010000}"/>
    <cellStyle name="Ввод  4" xfId="300" xr:uid="{00000000-0005-0000-0000-000029010000}"/>
    <cellStyle name="Ввод  5" xfId="301" xr:uid="{00000000-0005-0000-0000-00002A010000}"/>
    <cellStyle name="ВедРесурсов" xfId="302" xr:uid="{00000000-0005-0000-0000-00002B010000}"/>
    <cellStyle name="ВедРесурсовАкт" xfId="303" xr:uid="{00000000-0005-0000-0000-00002C010000}"/>
    <cellStyle name="Вывод 2" xfId="304" xr:uid="{00000000-0005-0000-0000-00002D010000}"/>
    <cellStyle name="Вывод 3" xfId="305" xr:uid="{00000000-0005-0000-0000-00002E010000}"/>
    <cellStyle name="Вывод 4" xfId="306" xr:uid="{00000000-0005-0000-0000-00002F010000}"/>
    <cellStyle name="Вывод 5" xfId="307" xr:uid="{00000000-0005-0000-0000-000030010000}"/>
    <cellStyle name="Вычисление 2" xfId="308" xr:uid="{00000000-0005-0000-0000-000031010000}"/>
    <cellStyle name="Вычисление 3" xfId="309" xr:uid="{00000000-0005-0000-0000-000032010000}"/>
    <cellStyle name="Вычисление 4" xfId="310" xr:uid="{00000000-0005-0000-0000-000033010000}"/>
    <cellStyle name="Вычисление 5" xfId="311" xr:uid="{00000000-0005-0000-0000-000034010000}"/>
    <cellStyle name="Заголовок 1 2" xfId="312" xr:uid="{00000000-0005-0000-0000-000035010000}"/>
    <cellStyle name="Заголовок 1 3" xfId="313" xr:uid="{00000000-0005-0000-0000-000036010000}"/>
    <cellStyle name="Заголовок 1 4" xfId="314" xr:uid="{00000000-0005-0000-0000-000037010000}"/>
    <cellStyle name="Заголовок 1 5" xfId="315" xr:uid="{00000000-0005-0000-0000-000038010000}"/>
    <cellStyle name="Заголовок 2 2" xfId="316" xr:uid="{00000000-0005-0000-0000-000039010000}"/>
    <cellStyle name="Заголовок 2 2 2" xfId="317" xr:uid="{00000000-0005-0000-0000-00003A010000}"/>
    <cellStyle name="Заголовок 2 2 3" xfId="318" xr:uid="{00000000-0005-0000-0000-00003B010000}"/>
    <cellStyle name="Заголовок 2 3" xfId="319" xr:uid="{00000000-0005-0000-0000-00003C010000}"/>
    <cellStyle name="Заголовок 2 4" xfId="320" xr:uid="{00000000-0005-0000-0000-00003D010000}"/>
    <cellStyle name="Заголовок 2 5" xfId="321" xr:uid="{00000000-0005-0000-0000-00003E010000}"/>
    <cellStyle name="Заголовок 3 2" xfId="322" xr:uid="{00000000-0005-0000-0000-00003F010000}"/>
    <cellStyle name="Заголовок 3 2 2" xfId="323" xr:uid="{00000000-0005-0000-0000-000040010000}"/>
    <cellStyle name="Заголовок 3 2 3" xfId="324" xr:uid="{00000000-0005-0000-0000-000041010000}"/>
    <cellStyle name="Заголовок 3 3" xfId="325" xr:uid="{00000000-0005-0000-0000-000042010000}"/>
    <cellStyle name="Заголовок 3 4" xfId="326" xr:uid="{00000000-0005-0000-0000-000043010000}"/>
    <cellStyle name="Заголовок 3 5" xfId="327" xr:uid="{00000000-0005-0000-0000-000044010000}"/>
    <cellStyle name="Заголовок 4 2" xfId="328" xr:uid="{00000000-0005-0000-0000-000045010000}"/>
    <cellStyle name="Заголовок 4 3" xfId="329" xr:uid="{00000000-0005-0000-0000-000046010000}"/>
    <cellStyle name="Заголовок 4 4" xfId="330" xr:uid="{00000000-0005-0000-0000-000047010000}"/>
    <cellStyle name="Заголовок 4 5" xfId="331" xr:uid="{00000000-0005-0000-0000-000048010000}"/>
    <cellStyle name="Индексы" xfId="332" xr:uid="{00000000-0005-0000-0000-000049010000}"/>
    <cellStyle name="Итог 2" xfId="333" xr:uid="{00000000-0005-0000-0000-00004A010000}"/>
    <cellStyle name="Итог 3" xfId="334" xr:uid="{00000000-0005-0000-0000-00004B010000}"/>
    <cellStyle name="Итог 4" xfId="335" xr:uid="{00000000-0005-0000-0000-00004C010000}"/>
    <cellStyle name="Итог 5" xfId="336" xr:uid="{00000000-0005-0000-0000-00004D010000}"/>
    <cellStyle name="Итоги" xfId="337" xr:uid="{00000000-0005-0000-0000-00004E010000}"/>
    <cellStyle name="ИтогоАктБазЦ" xfId="338" xr:uid="{00000000-0005-0000-0000-00004F010000}"/>
    <cellStyle name="ИтогоАктБИМ" xfId="339" xr:uid="{00000000-0005-0000-0000-000050010000}"/>
    <cellStyle name="ИтогоАктБИМ 10" xfId="340" xr:uid="{00000000-0005-0000-0000-000051010000}"/>
    <cellStyle name="ИтогоАктБИМ 11" xfId="341" xr:uid="{00000000-0005-0000-0000-000052010000}"/>
    <cellStyle name="ИтогоАктБИМ 12" xfId="342" xr:uid="{00000000-0005-0000-0000-000053010000}"/>
    <cellStyle name="ИтогоАктБИМ 13" xfId="343" xr:uid="{00000000-0005-0000-0000-000054010000}"/>
    <cellStyle name="ИтогоАктБИМ 14" xfId="344" xr:uid="{00000000-0005-0000-0000-000055010000}"/>
    <cellStyle name="ИтогоАктБИМ 15" xfId="345" xr:uid="{00000000-0005-0000-0000-000056010000}"/>
    <cellStyle name="ИтогоАктБИМ 16" xfId="346" xr:uid="{00000000-0005-0000-0000-000057010000}"/>
    <cellStyle name="ИтогоАктБИМ 17" xfId="347" xr:uid="{00000000-0005-0000-0000-000058010000}"/>
    <cellStyle name="ИтогоАктБИМ 18" xfId="348" xr:uid="{00000000-0005-0000-0000-000059010000}"/>
    <cellStyle name="ИтогоАктБИМ 2" xfId="349" xr:uid="{00000000-0005-0000-0000-00005A010000}"/>
    <cellStyle name="ИтогоАктБИМ 3" xfId="350" xr:uid="{00000000-0005-0000-0000-00005B010000}"/>
    <cellStyle name="ИтогоАктБИМ 4" xfId="351" xr:uid="{00000000-0005-0000-0000-00005C010000}"/>
    <cellStyle name="ИтогоАктБИМ 5" xfId="352" xr:uid="{00000000-0005-0000-0000-00005D010000}"/>
    <cellStyle name="ИтогоАктБИМ 6" xfId="353" xr:uid="{00000000-0005-0000-0000-00005E010000}"/>
    <cellStyle name="ИтогоАктБИМ 7" xfId="354" xr:uid="{00000000-0005-0000-0000-00005F010000}"/>
    <cellStyle name="ИтогоАктБИМ 8" xfId="355" xr:uid="{00000000-0005-0000-0000-000060010000}"/>
    <cellStyle name="ИтогоАктБИМ 9" xfId="356" xr:uid="{00000000-0005-0000-0000-000061010000}"/>
    <cellStyle name="ИтогоАктРесМет" xfId="357" xr:uid="{00000000-0005-0000-0000-000062010000}"/>
    <cellStyle name="ИтогоАктРесМет 10" xfId="358" xr:uid="{00000000-0005-0000-0000-000063010000}"/>
    <cellStyle name="ИтогоАктРесМет 11" xfId="359" xr:uid="{00000000-0005-0000-0000-000064010000}"/>
    <cellStyle name="ИтогоАктРесМет 12" xfId="360" xr:uid="{00000000-0005-0000-0000-000065010000}"/>
    <cellStyle name="ИтогоАктРесМет 13" xfId="361" xr:uid="{00000000-0005-0000-0000-000066010000}"/>
    <cellStyle name="ИтогоАктРесМет 14" xfId="362" xr:uid="{00000000-0005-0000-0000-000067010000}"/>
    <cellStyle name="ИтогоАктРесМет 15" xfId="363" xr:uid="{00000000-0005-0000-0000-000068010000}"/>
    <cellStyle name="ИтогоАктРесМет 16" xfId="364" xr:uid="{00000000-0005-0000-0000-000069010000}"/>
    <cellStyle name="ИтогоАктРесМет 17" xfId="365" xr:uid="{00000000-0005-0000-0000-00006A010000}"/>
    <cellStyle name="ИтогоАктРесМет 18" xfId="366" xr:uid="{00000000-0005-0000-0000-00006B010000}"/>
    <cellStyle name="ИтогоАктРесМет 2" xfId="367" xr:uid="{00000000-0005-0000-0000-00006C010000}"/>
    <cellStyle name="ИтогоАктРесМет 3" xfId="368" xr:uid="{00000000-0005-0000-0000-00006D010000}"/>
    <cellStyle name="ИтогоАктРесМет 4" xfId="369" xr:uid="{00000000-0005-0000-0000-00006E010000}"/>
    <cellStyle name="ИтогоАктРесМет 5" xfId="370" xr:uid="{00000000-0005-0000-0000-00006F010000}"/>
    <cellStyle name="ИтогоАктРесМет 6" xfId="371" xr:uid="{00000000-0005-0000-0000-000070010000}"/>
    <cellStyle name="ИтогоАктРесМет 7" xfId="372" xr:uid="{00000000-0005-0000-0000-000071010000}"/>
    <cellStyle name="ИтогоАктРесМет 8" xfId="373" xr:uid="{00000000-0005-0000-0000-000072010000}"/>
    <cellStyle name="ИтогоАктРесМет 9" xfId="374" xr:uid="{00000000-0005-0000-0000-000073010000}"/>
    <cellStyle name="ИтогоАктТекЦ" xfId="375" xr:uid="{00000000-0005-0000-0000-000074010000}"/>
    <cellStyle name="ИтогоБазЦ" xfId="376" xr:uid="{00000000-0005-0000-0000-000075010000}"/>
    <cellStyle name="ИтогоБИМ" xfId="377" xr:uid="{00000000-0005-0000-0000-000076010000}"/>
    <cellStyle name="ИтогоБИМ 10" xfId="378" xr:uid="{00000000-0005-0000-0000-000077010000}"/>
    <cellStyle name="ИтогоБИМ 11" xfId="379" xr:uid="{00000000-0005-0000-0000-000078010000}"/>
    <cellStyle name="ИтогоБИМ 12" xfId="380" xr:uid="{00000000-0005-0000-0000-000079010000}"/>
    <cellStyle name="ИтогоБИМ 13" xfId="381" xr:uid="{00000000-0005-0000-0000-00007A010000}"/>
    <cellStyle name="ИтогоБИМ 14" xfId="382" xr:uid="{00000000-0005-0000-0000-00007B010000}"/>
    <cellStyle name="ИтогоБИМ 15" xfId="383" xr:uid="{00000000-0005-0000-0000-00007C010000}"/>
    <cellStyle name="ИтогоБИМ 16" xfId="384" xr:uid="{00000000-0005-0000-0000-00007D010000}"/>
    <cellStyle name="ИтогоБИМ 17" xfId="385" xr:uid="{00000000-0005-0000-0000-00007E010000}"/>
    <cellStyle name="ИтогоБИМ 18" xfId="386" xr:uid="{00000000-0005-0000-0000-00007F010000}"/>
    <cellStyle name="ИтогоБИМ 2" xfId="387" xr:uid="{00000000-0005-0000-0000-000080010000}"/>
    <cellStyle name="ИтогоБИМ 3" xfId="388" xr:uid="{00000000-0005-0000-0000-000081010000}"/>
    <cellStyle name="ИтогоБИМ 4" xfId="389" xr:uid="{00000000-0005-0000-0000-000082010000}"/>
    <cellStyle name="ИтогоБИМ 5" xfId="390" xr:uid="{00000000-0005-0000-0000-000083010000}"/>
    <cellStyle name="ИтогоБИМ 6" xfId="391" xr:uid="{00000000-0005-0000-0000-000084010000}"/>
    <cellStyle name="ИтогоБИМ 7" xfId="392" xr:uid="{00000000-0005-0000-0000-000085010000}"/>
    <cellStyle name="ИтогоБИМ 8" xfId="393" xr:uid="{00000000-0005-0000-0000-000086010000}"/>
    <cellStyle name="ИтогоБИМ 9" xfId="394" xr:uid="{00000000-0005-0000-0000-000087010000}"/>
    <cellStyle name="ИтогоРесМет" xfId="395" xr:uid="{00000000-0005-0000-0000-000088010000}"/>
    <cellStyle name="ИтогоРесМет 10" xfId="396" xr:uid="{00000000-0005-0000-0000-000089010000}"/>
    <cellStyle name="ИтогоРесМет 11" xfId="397" xr:uid="{00000000-0005-0000-0000-00008A010000}"/>
    <cellStyle name="ИтогоРесМет 12" xfId="398" xr:uid="{00000000-0005-0000-0000-00008B010000}"/>
    <cellStyle name="ИтогоРесМет 13" xfId="399" xr:uid="{00000000-0005-0000-0000-00008C010000}"/>
    <cellStyle name="ИтогоРесМет 14" xfId="400" xr:uid="{00000000-0005-0000-0000-00008D010000}"/>
    <cellStyle name="ИтогоРесМет 15" xfId="401" xr:uid="{00000000-0005-0000-0000-00008E010000}"/>
    <cellStyle name="ИтогоРесМет 16" xfId="402" xr:uid="{00000000-0005-0000-0000-00008F010000}"/>
    <cellStyle name="ИтогоРесМет 17" xfId="403" xr:uid="{00000000-0005-0000-0000-000090010000}"/>
    <cellStyle name="ИтогоРесМет 18" xfId="404" xr:uid="{00000000-0005-0000-0000-000091010000}"/>
    <cellStyle name="ИтогоРесМет 2" xfId="405" xr:uid="{00000000-0005-0000-0000-000092010000}"/>
    <cellStyle name="ИтогоРесМет 3" xfId="406" xr:uid="{00000000-0005-0000-0000-000093010000}"/>
    <cellStyle name="ИтогоРесМет 4" xfId="407" xr:uid="{00000000-0005-0000-0000-000094010000}"/>
    <cellStyle name="ИтогоРесМет 5" xfId="408" xr:uid="{00000000-0005-0000-0000-000095010000}"/>
    <cellStyle name="ИтогоРесМет 6" xfId="409" xr:uid="{00000000-0005-0000-0000-000096010000}"/>
    <cellStyle name="ИтогоРесМет 7" xfId="410" xr:uid="{00000000-0005-0000-0000-000097010000}"/>
    <cellStyle name="ИтогоРесМет 8" xfId="411" xr:uid="{00000000-0005-0000-0000-000098010000}"/>
    <cellStyle name="ИтогоРесМет 9" xfId="412" xr:uid="{00000000-0005-0000-0000-000099010000}"/>
    <cellStyle name="ИтогоТекЦ" xfId="413" xr:uid="{00000000-0005-0000-0000-00009A010000}"/>
    <cellStyle name="Контрольная ячейка 2" xfId="414" xr:uid="{00000000-0005-0000-0000-00009B010000}"/>
    <cellStyle name="Контрольная ячейка 3" xfId="415" xr:uid="{00000000-0005-0000-0000-00009C010000}"/>
    <cellStyle name="Контрольная ячейка 4" xfId="416" xr:uid="{00000000-0005-0000-0000-00009D010000}"/>
    <cellStyle name="Контрольная ячейка 5" xfId="417" xr:uid="{00000000-0005-0000-0000-00009E010000}"/>
    <cellStyle name="КС-3" xfId="418" xr:uid="{00000000-0005-0000-0000-00009F010000}"/>
    <cellStyle name="ЛокСмета" xfId="419" xr:uid="{00000000-0005-0000-0000-0000A0010000}"/>
    <cellStyle name="ЛокСмМТСН" xfId="420" xr:uid="{00000000-0005-0000-0000-0000A1010000}"/>
    <cellStyle name="ЛокСмМТСН 10" xfId="421" xr:uid="{00000000-0005-0000-0000-0000A2010000}"/>
    <cellStyle name="ЛокСмМТСН 11" xfId="422" xr:uid="{00000000-0005-0000-0000-0000A3010000}"/>
    <cellStyle name="ЛокСмМТСН 12" xfId="423" xr:uid="{00000000-0005-0000-0000-0000A4010000}"/>
    <cellStyle name="ЛокСмМТСН 13" xfId="424" xr:uid="{00000000-0005-0000-0000-0000A5010000}"/>
    <cellStyle name="ЛокСмМТСН 14" xfId="425" xr:uid="{00000000-0005-0000-0000-0000A6010000}"/>
    <cellStyle name="ЛокСмМТСН 15" xfId="426" xr:uid="{00000000-0005-0000-0000-0000A7010000}"/>
    <cellStyle name="ЛокСмМТСН 16" xfId="427" xr:uid="{00000000-0005-0000-0000-0000A8010000}"/>
    <cellStyle name="ЛокСмМТСН 17" xfId="428" xr:uid="{00000000-0005-0000-0000-0000A9010000}"/>
    <cellStyle name="ЛокСмМТСН 18" xfId="429" xr:uid="{00000000-0005-0000-0000-0000AA010000}"/>
    <cellStyle name="ЛокСмМТСН 2" xfId="430" xr:uid="{00000000-0005-0000-0000-0000AB010000}"/>
    <cellStyle name="ЛокСмМТСН 3" xfId="431" xr:uid="{00000000-0005-0000-0000-0000AC010000}"/>
    <cellStyle name="ЛокСмМТСН 4" xfId="432" xr:uid="{00000000-0005-0000-0000-0000AD010000}"/>
    <cellStyle name="ЛокСмМТСН 5" xfId="433" xr:uid="{00000000-0005-0000-0000-0000AE010000}"/>
    <cellStyle name="ЛокСмМТСН 6" xfId="434" xr:uid="{00000000-0005-0000-0000-0000AF010000}"/>
    <cellStyle name="ЛокСмМТСН 7" xfId="435" xr:uid="{00000000-0005-0000-0000-0000B0010000}"/>
    <cellStyle name="ЛокСмМТСН 8" xfId="436" xr:uid="{00000000-0005-0000-0000-0000B1010000}"/>
    <cellStyle name="ЛокСмМТСН 9" xfId="437" xr:uid="{00000000-0005-0000-0000-0000B2010000}"/>
    <cellStyle name="М29" xfId="438" xr:uid="{00000000-0005-0000-0000-0000B3010000}"/>
    <cellStyle name="М29 10" xfId="439" xr:uid="{00000000-0005-0000-0000-0000B4010000}"/>
    <cellStyle name="М29 11" xfId="440" xr:uid="{00000000-0005-0000-0000-0000B5010000}"/>
    <cellStyle name="М29 12" xfId="441" xr:uid="{00000000-0005-0000-0000-0000B6010000}"/>
    <cellStyle name="М29 13" xfId="442" xr:uid="{00000000-0005-0000-0000-0000B7010000}"/>
    <cellStyle name="М29 14" xfId="443" xr:uid="{00000000-0005-0000-0000-0000B8010000}"/>
    <cellStyle name="М29 15" xfId="444" xr:uid="{00000000-0005-0000-0000-0000B9010000}"/>
    <cellStyle name="М29 16" xfId="445" xr:uid="{00000000-0005-0000-0000-0000BA010000}"/>
    <cellStyle name="М29 17" xfId="446" xr:uid="{00000000-0005-0000-0000-0000BB010000}"/>
    <cellStyle name="М29 18" xfId="447" xr:uid="{00000000-0005-0000-0000-0000BC010000}"/>
    <cellStyle name="М29 2" xfId="448" xr:uid="{00000000-0005-0000-0000-0000BD010000}"/>
    <cellStyle name="М29 3" xfId="449" xr:uid="{00000000-0005-0000-0000-0000BE010000}"/>
    <cellStyle name="М29 4" xfId="450" xr:uid="{00000000-0005-0000-0000-0000BF010000}"/>
    <cellStyle name="М29 5" xfId="451" xr:uid="{00000000-0005-0000-0000-0000C0010000}"/>
    <cellStyle name="М29 6" xfId="452" xr:uid="{00000000-0005-0000-0000-0000C1010000}"/>
    <cellStyle name="М29 7" xfId="453" xr:uid="{00000000-0005-0000-0000-0000C2010000}"/>
    <cellStyle name="М29 8" xfId="454" xr:uid="{00000000-0005-0000-0000-0000C3010000}"/>
    <cellStyle name="М29 9" xfId="455" xr:uid="{00000000-0005-0000-0000-0000C4010000}"/>
    <cellStyle name="Название 2" xfId="456" xr:uid="{00000000-0005-0000-0000-0000C5010000}"/>
    <cellStyle name="Название 3" xfId="457" xr:uid="{00000000-0005-0000-0000-0000C6010000}"/>
    <cellStyle name="Название 4" xfId="458" xr:uid="{00000000-0005-0000-0000-0000C7010000}"/>
    <cellStyle name="Название 5" xfId="459" xr:uid="{00000000-0005-0000-0000-0000C8010000}"/>
    <cellStyle name="Нейтральный 2" xfId="460" xr:uid="{00000000-0005-0000-0000-0000C9010000}"/>
    <cellStyle name="Нейтральный 3" xfId="461" xr:uid="{00000000-0005-0000-0000-0000CA010000}"/>
    <cellStyle name="Нейтральный 4" xfId="462" xr:uid="{00000000-0005-0000-0000-0000CB010000}"/>
    <cellStyle name="Нейтральный 5" xfId="463" xr:uid="{00000000-0005-0000-0000-0000CC010000}"/>
    <cellStyle name="ОбСмета" xfId="464" xr:uid="{00000000-0005-0000-0000-0000CD010000}"/>
    <cellStyle name="ОбСмета 10" xfId="465" xr:uid="{00000000-0005-0000-0000-0000CE010000}"/>
    <cellStyle name="ОбСмета 11" xfId="466" xr:uid="{00000000-0005-0000-0000-0000CF010000}"/>
    <cellStyle name="ОбСмета 12" xfId="467" xr:uid="{00000000-0005-0000-0000-0000D0010000}"/>
    <cellStyle name="ОбСмета 13" xfId="468" xr:uid="{00000000-0005-0000-0000-0000D1010000}"/>
    <cellStyle name="ОбСмета 14" xfId="469" xr:uid="{00000000-0005-0000-0000-0000D2010000}"/>
    <cellStyle name="ОбСмета 15" xfId="470" xr:uid="{00000000-0005-0000-0000-0000D3010000}"/>
    <cellStyle name="ОбСмета 16" xfId="471" xr:uid="{00000000-0005-0000-0000-0000D4010000}"/>
    <cellStyle name="ОбСмета 17" xfId="472" xr:uid="{00000000-0005-0000-0000-0000D5010000}"/>
    <cellStyle name="ОбСмета 18" xfId="473" xr:uid="{00000000-0005-0000-0000-0000D6010000}"/>
    <cellStyle name="ОбСмета 2" xfId="474" xr:uid="{00000000-0005-0000-0000-0000D7010000}"/>
    <cellStyle name="ОбСмета 3" xfId="475" xr:uid="{00000000-0005-0000-0000-0000D8010000}"/>
    <cellStyle name="ОбСмета 4" xfId="476" xr:uid="{00000000-0005-0000-0000-0000D9010000}"/>
    <cellStyle name="ОбСмета 5" xfId="477" xr:uid="{00000000-0005-0000-0000-0000DA010000}"/>
    <cellStyle name="ОбСмета 6" xfId="478" xr:uid="{00000000-0005-0000-0000-0000DB010000}"/>
    <cellStyle name="ОбСмета 7" xfId="479" xr:uid="{00000000-0005-0000-0000-0000DC010000}"/>
    <cellStyle name="ОбСмета 8" xfId="480" xr:uid="{00000000-0005-0000-0000-0000DD010000}"/>
    <cellStyle name="ОбСмета 9" xfId="481" xr:uid="{00000000-0005-0000-0000-0000DE010000}"/>
    <cellStyle name="Обычный" xfId="0" builtinId="0"/>
    <cellStyle name="Обычный 10" xfId="482" xr:uid="{00000000-0005-0000-0000-0000E0010000}"/>
    <cellStyle name="Обычный 10 10" xfId="483" xr:uid="{00000000-0005-0000-0000-0000E1010000}"/>
    <cellStyle name="Обычный 10 10 2" xfId="484" xr:uid="{00000000-0005-0000-0000-0000E2010000}"/>
    <cellStyle name="Обычный 10 10 2 2" xfId="485" xr:uid="{00000000-0005-0000-0000-0000E3010000}"/>
    <cellStyle name="Обычный 10 10 2 2 2" xfId="486" xr:uid="{00000000-0005-0000-0000-0000E4010000}"/>
    <cellStyle name="Обычный 10 10 2 2 2 2" xfId="487" xr:uid="{00000000-0005-0000-0000-0000E5010000}"/>
    <cellStyle name="Обычный 10 10 2 2 2 2 2" xfId="488" xr:uid="{00000000-0005-0000-0000-0000E6010000}"/>
    <cellStyle name="Обычный 10 10 2 2 2 3" xfId="489" xr:uid="{00000000-0005-0000-0000-0000E7010000}"/>
    <cellStyle name="Обычный 10 10 2 2 3" xfId="490" xr:uid="{00000000-0005-0000-0000-0000E8010000}"/>
    <cellStyle name="Обычный 10 10 2 2 3 2" xfId="491" xr:uid="{00000000-0005-0000-0000-0000E9010000}"/>
    <cellStyle name="Обычный 10 10 2 2 4" xfId="492" xr:uid="{00000000-0005-0000-0000-0000EA010000}"/>
    <cellStyle name="Обычный 10 10 2 3" xfId="493" xr:uid="{00000000-0005-0000-0000-0000EB010000}"/>
    <cellStyle name="Обычный 10 10 2 3 2" xfId="494" xr:uid="{00000000-0005-0000-0000-0000EC010000}"/>
    <cellStyle name="Обычный 10 10 2 3 2 2" xfId="495" xr:uid="{00000000-0005-0000-0000-0000ED010000}"/>
    <cellStyle name="Обычный 10 10 2 3 3" xfId="496" xr:uid="{00000000-0005-0000-0000-0000EE010000}"/>
    <cellStyle name="Обычный 10 10 2 4" xfId="497" xr:uid="{00000000-0005-0000-0000-0000EF010000}"/>
    <cellStyle name="Обычный 10 10 2 4 2" xfId="498" xr:uid="{00000000-0005-0000-0000-0000F0010000}"/>
    <cellStyle name="Обычный 10 10 2 5" xfId="499" xr:uid="{00000000-0005-0000-0000-0000F1010000}"/>
    <cellStyle name="Обычный 10 10 3" xfId="500" xr:uid="{00000000-0005-0000-0000-0000F2010000}"/>
    <cellStyle name="Обычный 10 10 3 2" xfId="501" xr:uid="{00000000-0005-0000-0000-0000F3010000}"/>
    <cellStyle name="Обычный 10 10 3 2 2" xfId="502" xr:uid="{00000000-0005-0000-0000-0000F4010000}"/>
    <cellStyle name="Обычный 10 10 3 2 2 2" xfId="503" xr:uid="{00000000-0005-0000-0000-0000F5010000}"/>
    <cellStyle name="Обычный 10 10 3 2 2 2 2" xfId="504" xr:uid="{00000000-0005-0000-0000-0000F6010000}"/>
    <cellStyle name="Обычный 10 10 3 2 2 3" xfId="505" xr:uid="{00000000-0005-0000-0000-0000F7010000}"/>
    <cellStyle name="Обычный 10 10 3 2 3" xfId="506" xr:uid="{00000000-0005-0000-0000-0000F8010000}"/>
    <cellStyle name="Обычный 10 10 3 2 3 2" xfId="507" xr:uid="{00000000-0005-0000-0000-0000F9010000}"/>
    <cellStyle name="Обычный 10 10 3 2 4" xfId="508" xr:uid="{00000000-0005-0000-0000-0000FA010000}"/>
    <cellStyle name="Обычный 10 10 3 3" xfId="509" xr:uid="{00000000-0005-0000-0000-0000FB010000}"/>
    <cellStyle name="Обычный 10 10 3 3 2" xfId="510" xr:uid="{00000000-0005-0000-0000-0000FC010000}"/>
    <cellStyle name="Обычный 10 10 3 3 2 2" xfId="511" xr:uid="{00000000-0005-0000-0000-0000FD010000}"/>
    <cellStyle name="Обычный 10 10 3 3 3" xfId="512" xr:uid="{00000000-0005-0000-0000-0000FE010000}"/>
    <cellStyle name="Обычный 10 10 3 4" xfId="513" xr:uid="{00000000-0005-0000-0000-0000FF010000}"/>
    <cellStyle name="Обычный 10 10 3 4 2" xfId="514" xr:uid="{00000000-0005-0000-0000-000000020000}"/>
    <cellStyle name="Обычный 10 10 3 5" xfId="515" xr:uid="{00000000-0005-0000-0000-000001020000}"/>
    <cellStyle name="Обычный 10 10 4" xfId="516" xr:uid="{00000000-0005-0000-0000-000002020000}"/>
    <cellStyle name="Обычный 10 10 4 2" xfId="517" xr:uid="{00000000-0005-0000-0000-000003020000}"/>
    <cellStyle name="Обычный 10 10 4 2 2" xfId="518" xr:uid="{00000000-0005-0000-0000-000004020000}"/>
    <cellStyle name="Обычный 10 10 4 2 2 2" xfId="519" xr:uid="{00000000-0005-0000-0000-000005020000}"/>
    <cellStyle name="Обычный 10 10 4 2 2 2 2" xfId="520" xr:uid="{00000000-0005-0000-0000-000006020000}"/>
    <cellStyle name="Обычный 10 10 4 2 2 3" xfId="521" xr:uid="{00000000-0005-0000-0000-000007020000}"/>
    <cellStyle name="Обычный 10 10 4 2 3" xfId="522" xr:uid="{00000000-0005-0000-0000-000008020000}"/>
    <cellStyle name="Обычный 10 10 4 2 3 2" xfId="523" xr:uid="{00000000-0005-0000-0000-000009020000}"/>
    <cellStyle name="Обычный 10 10 4 2 4" xfId="524" xr:uid="{00000000-0005-0000-0000-00000A020000}"/>
    <cellStyle name="Обычный 10 10 4 3" xfId="525" xr:uid="{00000000-0005-0000-0000-00000B020000}"/>
    <cellStyle name="Обычный 10 10 4 3 2" xfId="526" xr:uid="{00000000-0005-0000-0000-00000C020000}"/>
    <cellStyle name="Обычный 10 10 4 3 2 2" xfId="527" xr:uid="{00000000-0005-0000-0000-00000D020000}"/>
    <cellStyle name="Обычный 10 10 4 3 3" xfId="528" xr:uid="{00000000-0005-0000-0000-00000E020000}"/>
    <cellStyle name="Обычный 10 10 4 4" xfId="529" xr:uid="{00000000-0005-0000-0000-00000F020000}"/>
    <cellStyle name="Обычный 10 10 4 4 2" xfId="530" xr:uid="{00000000-0005-0000-0000-000010020000}"/>
    <cellStyle name="Обычный 10 10 4 5" xfId="531" xr:uid="{00000000-0005-0000-0000-000011020000}"/>
    <cellStyle name="Обычный 10 10 5" xfId="532" xr:uid="{00000000-0005-0000-0000-000012020000}"/>
    <cellStyle name="Обычный 10 10 5 2" xfId="533" xr:uid="{00000000-0005-0000-0000-000013020000}"/>
    <cellStyle name="Обычный 10 10 5 2 2" xfId="534" xr:uid="{00000000-0005-0000-0000-000014020000}"/>
    <cellStyle name="Обычный 10 10 5 2 2 2" xfId="535" xr:uid="{00000000-0005-0000-0000-000015020000}"/>
    <cellStyle name="Обычный 10 10 5 2 3" xfId="536" xr:uid="{00000000-0005-0000-0000-000016020000}"/>
    <cellStyle name="Обычный 10 10 5 3" xfId="537" xr:uid="{00000000-0005-0000-0000-000017020000}"/>
    <cellStyle name="Обычный 10 10 5 3 2" xfId="538" xr:uid="{00000000-0005-0000-0000-000018020000}"/>
    <cellStyle name="Обычный 10 10 5 4" xfId="539" xr:uid="{00000000-0005-0000-0000-000019020000}"/>
    <cellStyle name="Обычный 10 10 6" xfId="540" xr:uid="{00000000-0005-0000-0000-00001A020000}"/>
    <cellStyle name="Обычный 10 10 6 2" xfId="541" xr:uid="{00000000-0005-0000-0000-00001B020000}"/>
    <cellStyle name="Обычный 10 10 6 2 2" xfId="542" xr:uid="{00000000-0005-0000-0000-00001C020000}"/>
    <cellStyle name="Обычный 10 10 6 3" xfId="543" xr:uid="{00000000-0005-0000-0000-00001D020000}"/>
    <cellStyle name="Обычный 10 10 7" xfId="544" xr:uid="{00000000-0005-0000-0000-00001E020000}"/>
    <cellStyle name="Обычный 10 10 7 2" xfId="545" xr:uid="{00000000-0005-0000-0000-00001F020000}"/>
    <cellStyle name="Обычный 10 10 8" xfId="546" xr:uid="{00000000-0005-0000-0000-000020020000}"/>
    <cellStyle name="Обычный 10 11" xfId="547" xr:uid="{00000000-0005-0000-0000-000021020000}"/>
    <cellStyle name="Обычный 10 11 2" xfId="548" xr:uid="{00000000-0005-0000-0000-000022020000}"/>
    <cellStyle name="Обычный 10 11 2 2" xfId="549" xr:uid="{00000000-0005-0000-0000-000023020000}"/>
    <cellStyle name="Обычный 10 11 2 2 2" xfId="550" xr:uid="{00000000-0005-0000-0000-000024020000}"/>
    <cellStyle name="Обычный 10 11 2 2 2 2" xfId="551" xr:uid="{00000000-0005-0000-0000-000025020000}"/>
    <cellStyle name="Обычный 10 11 2 2 2 2 2" xfId="552" xr:uid="{00000000-0005-0000-0000-000026020000}"/>
    <cellStyle name="Обычный 10 11 2 2 2 3" xfId="553" xr:uid="{00000000-0005-0000-0000-000027020000}"/>
    <cellStyle name="Обычный 10 11 2 2 3" xfId="554" xr:uid="{00000000-0005-0000-0000-000028020000}"/>
    <cellStyle name="Обычный 10 11 2 2 3 2" xfId="555" xr:uid="{00000000-0005-0000-0000-000029020000}"/>
    <cellStyle name="Обычный 10 11 2 2 4" xfId="556" xr:uid="{00000000-0005-0000-0000-00002A020000}"/>
    <cellStyle name="Обычный 10 11 2 3" xfId="557" xr:uid="{00000000-0005-0000-0000-00002B020000}"/>
    <cellStyle name="Обычный 10 11 2 3 2" xfId="558" xr:uid="{00000000-0005-0000-0000-00002C020000}"/>
    <cellStyle name="Обычный 10 11 2 3 2 2" xfId="559" xr:uid="{00000000-0005-0000-0000-00002D020000}"/>
    <cellStyle name="Обычный 10 11 2 3 3" xfId="560" xr:uid="{00000000-0005-0000-0000-00002E020000}"/>
    <cellStyle name="Обычный 10 11 2 4" xfId="561" xr:uid="{00000000-0005-0000-0000-00002F020000}"/>
    <cellStyle name="Обычный 10 11 2 4 2" xfId="562" xr:uid="{00000000-0005-0000-0000-000030020000}"/>
    <cellStyle name="Обычный 10 11 2 5" xfId="563" xr:uid="{00000000-0005-0000-0000-000031020000}"/>
    <cellStyle name="Обычный 10 11 3" xfId="564" xr:uid="{00000000-0005-0000-0000-000032020000}"/>
    <cellStyle name="Обычный 10 11 3 2" xfId="565" xr:uid="{00000000-0005-0000-0000-000033020000}"/>
    <cellStyle name="Обычный 10 11 3 2 2" xfId="566" xr:uid="{00000000-0005-0000-0000-000034020000}"/>
    <cellStyle name="Обычный 10 11 3 2 2 2" xfId="567" xr:uid="{00000000-0005-0000-0000-000035020000}"/>
    <cellStyle name="Обычный 10 11 3 2 2 2 2" xfId="568" xr:uid="{00000000-0005-0000-0000-000036020000}"/>
    <cellStyle name="Обычный 10 11 3 2 2 3" xfId="569" xr:uid="{00000000-0005-0000-0000-000037020000}"/>
    <cellStyle name="Обычный 10 11 3 2 3" xfId="570" xr:uid="{00000000-0005-0000-0000-000038020000}"/>
    <cellStyle name="Обычный 10 11 3 2 3 2" xfId="571" xr:uid="{00000000-0005-0000-0000-000039020000}"/>
    <cellStyle name="Обычный 10 11 3 2 4" xfId="572" xr:uid="{00000000-0005-0000-0000-00003A020000}"/>
    <cellStyle name="Обычный 10 11 3 3" xfId="573" xr:uid="{00000000-0005-0000-0000-00003B020000}"/>
    <cellStyle name="Обычный 10 11 3 3 2" xfId="574" xr:uid="{00000000-0005-0000-0000-00003C020000}"/>
    <cellStyle name="Обычный 10 11 3 3 2 2" xfId="575" xr:uid="{00000000-0005-0000-0000-00003D020000}"/>
    <cellStyle name="Обычный 10 11 3 3 3" xfId="576" xr:uid="{00000000-0005-0000-0000-00003E020000}"/>
    <cellStyle name="Обычный 10 11 3 4" xfId="577" xr:uid="{00000000-0005-0000-0000-00003F020000}"/>
    <cellStyle name="Обычный 10 11 3 4 2" xfId="578" xr:uid="{00000000-0005-0000-0000-000040020000}"/>
    <cellStyle name="Обычный 10 11 3 5" xfId="579" xr:uid="{00000000-0005-0000-0000-000041020000}"/>
    <cellStyle name="Обычный 10 11 4" xfId="580" xr:uid="{00000000-0005-0000-0000-000042020000}"/>
    <cellStyle name="Обычный 10 11 4 2" xfId="581" xr:uid="{00000000-0005-0000-0000-000043020000}"/>
    <cellStyle name="Обычный 10 11 4 2 2" xfId="582" xr:uid="{00000000-0005-0000-0000-000044020000}"/>
    <cellStyle name="Обычный 10 11 4 2 2 2" xfId="583" xr:uid="{00000000-0005-0000-0000-000045020000}"/>
    <cellStyle name="Обычный 10 11 4 2 2 2 2" xfId="584" xr:uid="{00000000-0005-0000-0000-000046020000}"/>
    <cellStyle name="Обычный 10 11 4 2 2 3" xfId="585" xr:uid="{00000000-0005-0000-0000-000047020000}"/>
    <cellStyle name="Обычный 10 11 4 2 3" xfId="586" xr:uid="{00000000-0005-0000-0000-000048020000}"/>
    <cellStyle name="Обычный 10 11 4 2 3 2" xfId="587" xr:uid="{00000000-0005-0000-0000-000049020000}"/>
    <cellStyle name="Обычный 10 11 4 2 4" xfId="588" xr:uid="{00000000-0005-0000-0000-00004A020000}"/>
    <cellStyle name="Обычный 10 11 4 3" xfId="589" xr:uid="{00000000-0005-0000-0000-00004B020000}"/>
    <cellStyle name="Обычный 10 11 4 3 2" xfId="590" xr:uid="{00000000-0005-0000-0000-00004C020000}"/>
    <cellStyle name="Обычный 10 11 4 3 2 2" xfId="591" xr:uid="{00000000-0005-0000-0000-00004D020000}"/>
    <cellStyle name="Обычный 10 11 4 3 3" xfId="592" xr:uid="{00000000-0005-0000-0000-00004E020000}"/>
    <cellStyle name="Обычный 10 11 4 4" xfId="593" xr:uid="{00000000-0005-0000-0000-00004F020000}"/>
    <cellStyle name="Обычный 10 11 4 4 2" xfId="594" xr:uid="{00000000-0005-0000-0000-000050020000}"/>
    <cellStyle name="Обычный 10 11 4 5" xfId="595" xr:uid="{00000000-0005-0000-0000-000051020000}"/>
    <cellStyle name="Обычный 10 11 5" xfId="596" xr:uid="{00000000-0005-0000-0000-000052020000}"/>
    <cellStyle name="Обычный 10 11 5 2" xfId="597" xr:uid="{00000000-0005-0000-0000-000053020000}"/>
    <cellStyle name="Обычный 10 11 5 2 2" xfId="598" xr:uid="{00000000-0005-0000-0000-000054020000}"/>
    <cellStyle name="Обычный 10 11 5 2 2 2" xfId="599" xr:uid="{00000000-0005-0000-0000-000055020000}"/>
    <cellStyle name="Обычный 10 11 5 2 3" xfId="600" xr:uid="{00000000-0005-0000-0000-000056020000}"/>
    <cellStyle name="Обычный 10 11 5 3" xfId="601" xr:uid="{00000000-0005-0000-0000-000057020000}"/>
    <cellStyle name="Обычный 10 11 5 3 2" xfId="602" xr:uid="{00000000-0005-0000-0000-000058020000}"/>
    <cellStyle name="Обычный 10 11 5 4" xfId="603" xr:uid="{00000000-0005-0000-0000-000059020000}"/>
    <cellStyle name="Обычный 10 11 6" xfId="604" xr:uid="{00000000-0005-0000-0000-00005A020000}"/>
    <cellStyle name="Обычный 10 11 6 2" xfId="605" xr:uid="{00000000-0005-0000-0000-00005B020000}"/>
    <cellStyle name="Обычный 10 11 6 2 2" xfId="606" xr:uid="{00000000-0005-0000-0000-00005C020000}"/>
    <cellStyle name="Обычный 10 11 6 3" xfId="607" xr:uid="{00000000-0005-0000-0000-00005D020000}"/>
    <cellStyle name="Обычный 10 11 7" xfId="608" xr:uid="{00000000-0005-0000-0000-00005E020000}"/>
    <cellStyle name="Обычный 10 11 7 2" xfId="609" xr:uid="{00000000-0005-0000-0000-00005F020000}"/>
    <cellStyle name="Обычный 10 11 8" xfId="610" xr:uid="{00000000-0005-0000-0000-000060020000}"/>
    <cellStyle name="Обычный 10 12" xfId="611" xr:uid="{00000000-0005-0000-0000-000061020000}"/>
    <cellStyle name="Обычный 10 12 2" xfId="612" xr:uid="{00000000-0005-0000-0000-000062020000}"/>
    <cellStyle name="Обычный 10 12 2 2" xfId="613" xr:uid="{00000000-0005-0000-0000-000063020000}"/>
    <cellStyle name="Обычный 10 12 2 2 2" xfId="614" xr:uid="{00000000-0005-0000-0000-000064020000}"/>
    <cellStyle name="Обычный 10 12 2 2 2 2" xfId="615" xr:uid="{00000000-0005-0000-0000-000065020000}"/>
    <cellStyle name="Обычный 10 12 2 2 3" xfId="616" xr:uid="{00000000-0005-0000-0000-000066020000}"/>
    <cellStyle name="Обычный 10 12 2 3" xfId="617" xr:uid="{00000000-0005-0000-0000-000067020000}"/>
    <cellStyle name="Обычный 10 12 2 3 2" xfId="618" xr:uid="{00000000-0005-0000-0000-000068020000}"/>
    <cellStyle name="Обычный 10 12 2 4" xfId="619" xr:uid="{00000000-0005-0000-0000-000069020000}"/>
    <cellStyle name="Обычный 10 12 3" xfId="620" xr:uid="{00000000-0005-0000-0000-00006A020000}"/>
    <cellStyle name="Обычный 10 12 3 2" xfId="621" xr:uid="{00000000-0005-0000-0000-00006B020000}"/>
    <cellStyle name="Обычный 10 12 3 2 2" xfId="622" xr:uid="{00000000-0005-0000-0000-00006C020000}"/>
    <cellStyle name="Обычный 10 12 3 3" xfId="623" xr:uid="{00000000-0005-0000-0000-00006D020000}"/>
    <cellStyle name="Обычный 10 12 4" xfId="624" xr:uid="{00000000-0005-0000-0000-00006E020000}"/>
    <cellStyle name="Обычный 10 12 4 2" xfId="625" xr:uid="{00000000-0005-0000-0000-00006F020000}"/>
    <cellStyle name="Обычный 10 12 5" xfId="626" xr:uid="{00000000-0005-0000-0000-000070020000}"/>
    <cellStyle name="Обычный 10 13" xfId="627" xr:uid="{00000000-0005-0000-0000-000071020000}"/>
    <cellStyle name="Обычный 10 13 2" xfId="628" xr:uid="{00000000-0005-0000-0000-000072020000}"/>
    <cellStyle name="Обычный 10 13 2 2" xfId="629" xr:uid="{00000000-0005-0000-0000-000073020000}"/>
    <cellStyle name="Обычный 10 13 2 2 2" xfId="630" xr:uid="{00000000-0005-0000-0000-000074020000}"/>
    <cellStyle name="Обычный 10 13 2 2 2 2" xfId="631" xr:uid="{00000000-0005-0000-0000-000075020000}"/>
    <cellStyle name="Обычный 10 13 2 2 3" xfId="632" xr:uid="{00000000-0005-0000-0000-000076020000}"/>
    <cellStyle name="Обычный 10 13 2 3" xfId="633" xr:uid="{00000000-0005-0000-0000-000077020000}"/>
    <cellStyle name="Обычный 10 13 2 3 2" xfId="634" xr:uid="{00000000-0005-0000-0000-000078020000}"/>
    <cellStyle name="Обычный 10 13 2 4" xfId="635" xr:uid="{00000000-0005-0000-0000-000079020000}"/>
    <cellStyle name="Обычный 10 13 3" xfId="636" xr:uid="{00000000-0005-0000-0000-00007A020000}"/>
    <cellStyle name="Обычный 10 13 3 2" xfId="637" xr:uid="{00000000-0005-0000-0000-00007B020000}"/>
    <cellStyle name="Обычный 10 13 3 2 2" xfId="638" xr:uid="{00000000-0005-0000-0000-00007C020000}"/>
    <cellStyle name="Обычный 10 13 3 3" xfId="639" xr:uid="{00000000-0005-0000-0000-00007D020000}"/>
    <cellStyle name="Обычный 10 13 4" xfId="640" xr:uid="{00000000-0005-0000-0000-00007E020000}"/>
    <cellStyle name="Обычный 10 13 4 2" xfId="641" xr:uid="{00000000-0005-0000-0000-00007F020000}"/>
    <cellStyle name="Обычный 10 13 5" xfId="642" xr:uid="{00000000-0005-0000-0000-000080020000}"/>
    <cellStyle name="Обычный 10 14" xfId="643" xr:uid="{00000000-0005-0000-0000-000081020000}"/>
    <cellStyle name="Обычный 10 14 2" xfId="644" xr:uid="{00000000-0005-0000-0000-000082020000}"/>
    <cellStyle name="Обычный 10 14 2 2" xfId="645" xr:uid="{00000000-0005-0000-0000-000083020000}"/>
    <cellStyle name="Обычный 10 14 2 2 2" xfId="646" xr:uid="{00000000-0005-0000-0000-000084020000}"/>
    <cellStyle name="Обычный 10 14 2 2 2 2" xfId="647" xr:uid="{00000000-0005-0000-0000-000085020000}"/>
    <cellStyle name="Обычный 10 14 2 2 3" xfId="648" xr:uid="{00000000-0005-0000-0000-000086020000}"/>
    <cellStyle name="Обычный 10 14 2 3" xfId="649" xr:uid="{00000000-0005-0000-0000-000087020000}"/>
    <cellStyle name="Обычный 10 14 2 3 2" xfId="650" xr:uid="{00000000-0005-0000-0000-000088020000}"/>
    <cellStyle name="Обычный 10 14 2 4" xfId="651" xr:uid="{00000000-0005-0000-0000-000089020000}"/>
    <cellStyle name="Обычный 10 14 3" xfId="652" xr:uid="{00000000-0005-0000-0000-00008A020000}"/>
    <cellStyle name="Обычный 10 14 3 2" xfId="653" xr:uid="{00000000-0005-0000-0000-00008B020000}"/>
    <cellStyle name="Обычный 10 14 3 2 2" xfId="654" xr:uid="{00000000-0005-0000-0000-00008C020000}"/>
    <cellStyle name="Обычный 10 14 3 3" xfId="655" xr:uid="{00000000-0005-0000-0000-00008D020000}"/>
    <cellStyle name="Обычный 10 14 4" xfId="656" xr:uid="{00000000-0005-0000-0000-00008E020000}"/>
    <cellStyle name="Обычный 10 14 4 2" xfId="657" xr:uid="{00000000-0005-0000-0000-00008F020000}"/>
    <cellStyle name="Обычный 10 14 5" xfId="658" xr:uid="{00000000-0005-0000-0000-000090020000}"/>
    <cellStyle name="Обычный 10 15" xfId="659" xr:uid="{00000000-0005-0000-0000-000091020000}"/>
    <cellStyle name="Обычный 10 15 2" xfId="660" xr:uid="{00000000-0005-0000-0000-000092020000}"/>
    <cellStyle name="Обычный 10 15 2 2" xfId="661" xr:uid="{00000000-0005-0000-0000-000093020000}"/>
    <cellStyle name="Обычный 10 15 2 2 2" xfId="662" xr:uid="{00000000-0005-0000-0000-000094020000}"/>
    <cellStyle name="Обычный 10 15 2 3" xfId="663" xr:uid="{00000000-0005-0000-0000-000095020000}"/>
    <cellStyle name="Обычный 10 15 3" xfId="664" xr:uid="{00000000-0005-0000-0000-000096020000}"/>
    <cellStyle name="Обычный 10 15 3 2" xfId="665" xr:uid="{00000000-0005-0000-0000-000097020000}"/>
    <cellStyle name="Обычный 10 15 4" xfId="666" xr:uid="{00000000-0005-0000-0000-000098020000}"/>
    <cellStyle name="Обычный 10 16" xfId="667" xr:uid="{00000000-0005-0000-0000-000099020000}"/>
    <cellStyle name="Обычный 10 16 2" xfId="668" xr:uid="{00000000-0005-0000-0000-00009A020000}"/>
    <cellStyle name="Обычный 10 16 2 2" xfId="669" xr:uid="{00000000-0005-0000-0000-00009B020000}"/>
    <cellStyle name="Обычный 10 16 3" xfId="670" xr:uid="{00000000-0005-0000-0000-00009C020000}"/>
    <cellStyle name="Обычный 10 17" xfId="671" xr:uid="{00000000-0005-0000-0000-00009D020000}"/>
    <cellStyle name="Обычный 10 17 2" xfId="672" xr:uid="{00000000-0005-0000-0000-00009E020000}"/>
    <cellStyle name="Обычный 10 18" xfId="673" xr:uid="{00000000-0005-0000-0000-00009F020000}"/>
    <cellStyle name="Обычный 10 19" xfId="674" xr:uid="{00000000-0005-0000-0000-0000A0020000}"/>
    <cellStyle name="Обычный 10 2" xfId="675" xr:uid="{00000000-0005-0000-0000-0000A1020000}"/>
    <cellStyle name="Обычный 10 2 10" xfId="676" xr:uid="{00000000-0005-0000-0000-0000A2020000}"/>
    <cellStyle name="Обычный 10 2 2" xfId="677" xr:uid="{00000000-0005-0000-0000-0000A3020000}"/>
    <cellStyle name="Обычный 10 2 2 2" xfId="678" xr:uid="{00000000-0005-0000-0000-0000A4020000}"/>
    <cellStyle name="Обычный 10 2 2 2 2" xfId="679" xr:uid="{00000000-0005-0000-0000-0000A5020000}"/>
    <cellStyle name="Обычный 10 2 2 2 2 2" xfId="680" xr:uid="{00000000-0005-0000-0000-0000A6020000}"/>
    <cellStyle name="Обычный 10 2 2 2 2 2 2" xfId="681" xr:uid="{00000000-0005-0000-0000-0000A7020000}"/>
    <cellStyle name="Обычный 10 2 2 2 2 2 2 2" xfId="682" xr:uid="{00000000-0005-0000-0000-0000A8020000}"/>
    <cellStyle name="Обычный 10 2 2 2 2 2 3" xfId="683" xr:uid="{00000000-0005-0000-0000-0000A9020000}"/>
    <cellStyle name="Обычный 10 2 2 2 2 3" xfId="684" xr:uid="{00000000-0005-0000-0000-0000AA020000}"/>
    <cellStyle name="Обычный 10 2 2 2 2 3 2" xfId="685" xr:uid="{00000000-0005-0000-0000-0000AB020000}"/>
    <cellStyle name="Обычный 10 2 2 2 2 4" xfId="686" xr:uid="{00000000-0005-0000-0000-0000AC020000}"/>
    <cellStyle name="Обычный 10 2 2 2 3" xfId="687" xr:uid="{00000000-0005-0000-0000-0000AD020000}"/>
    <cellStyle name="Обычный 10 2 2 2 3 2" xfId="688" xr:uid="{00000000-0005-0000-0000-0000AE020000}"/>
    <cellStyle name="Обычный 10 2 2 2 3 2 2" xfId="689" xr:uid="{00000000-0005-0000-0000-0000AF020000}"/>
    <cellStyle name="Обычный 10 2 2 2 3 3" xfId="690" xr:uid="{00000000-0005-0000-0000-0000B0020000}"/>
    <cellStyle name="Обычный 10 2 2 2 4" xfId="691" xr:uid="{00000000-0005-0000-0000-0000B1020000}"/>
    <cellStyle name="Обычный 10 2 2 2 4 2" xfId="692" xr:uid="{00000000-0005-0000-0000-0000B2020000}"/>
    <cellStyle name="Обычный 10 2 2 2 5" xfId="693" xr:uid="{00000000-0005-0000-0000-0000B3020000}"/>
    <cellStyle name="Обычный 10 2 2 3" xfId="694" xr:uid="{00000000-0005-0000-0000-0000B4020000}"/>
    <cellStyle name="Обычный 10 2 2 3 2" xfId="695" xr:uid="{00000000-0005-0000-0000-0000B5020000}"/>
    <cellStyle name="Обычный 10 2 2 3 2 2" xfId="696" xr:uid="{00000000-0005-0000-0000-0000B6020000}"/>
    <cellStyle name="Обычный 10 2 2 3 2 2 2" xfId="697" xr:uid="{00000000-0005-0000-0000-0000B7020000}"/>
    <cellStyle name="Обычный 10 2 2 3 2 2 2 2" xfId="698" xr:uid="{00000000-0005-0000-0000-0000B8020000}"/>
    <cellStyle name="Обычный 10 2 2 3 2 2 3" xfId="699" xr:uid="{00000000-0005-0000-0000-0000B9020000}"/>
    <cellStyle name="Обычный 10 2 2 3 2 3" xfId="700" xr:uid="{00000000-0005-0000-0000-0000BA020000}"/>
    <cellStyle name="Обычный 10 2 2 3 2 3 2" xfId="701" xr:uid="{00000000-0005-0000-0000-0000BB020000}"/>
    <cellStyle name="Обычный 10 2 2 3 2 4" xfId="702" xr:uid="{00000000-0005-0000-0000-0000BC020000}"/>
    <cellStyle name="Обычный 10 2 2 3 3" xfId="703" xr:uid="{00000000-0005-0000-0000-0000BD020000}"/>
    <cellStyle name="Обычный 10 2 2 3 3 2" xfId="704" xr:uid="{00000000-0005-0000-0000-0000BE020000}"/>
    <cellStyle name="Обычный 10 2 2 3 3 2 2" xfId="705" xr:uid="{00000000-0005-0000-0000-0000BF020000}"/>
    <cellStyle name="Обычный 10 2 2 3 3 3" xfId="706" xr:uid="{00000000-0005-0000-0000-0000C0020000}"/>
    <cellStyle name="Обычный 10 2 2 3 4" xfId="707" xr:uid="{00000000-0005-0000-0000-0000C1020000}"/>
    <cellStyle name="Обычный 10 2 2 3 4 2" xfId="708" xr:uid="{00000000-0005-0000-0000-0000C2020000}"/>
    <cellStyle name="Обычный 10 2 2 3 5" xfId="709" xr:uid="{00000000-0005-0000-0000-0000C3020000}"/>
    <cellStyle name="Обычный 10 2 2 4" xfId="710" xr:uid="{00000000-0005-0000-0000-0000C4020000}"/>
    <cellStyle name="Обычный 10 2 2 4 2" xfId="711" xr:uid="{00000000-0005-0000-0000-0000C5020000}"/>
    <cellStyle name="Обычный 10 2 2 4 2 2" xfId="712" xr:uid="{00000000-0005-0000-0000-0000C6020000}"/>
    <cellStyle name="Обычный 10 2 2 4 2 2 2" xfId="713" xr:uid="{00000000-0005-0000-0000-0000C7020000}"/>
    <cellStyle name="Обычный 10 2 2 4 2 2 2 2" xfId="714" xr:uid="{00000000-0005-0000-0000-0000C8020000}"/>
    <cellStyle name="Обычный 10 2 2 4 2 2 3" xfId="715" xr:uid="{00000000-0005-0000-0000-0000C9020000}"/>
    <cellStyle name="Обычный 10 2 2 4 2 3" xfId="716" xr:uid="{00000000-0005-0000-0000-0000CA020000}"/>
    <cellStyle name="Обычный 10 2 2 4 2 3 2" xfId="717" xr:uid="{00000000-0005-0000-0000-0000CB020000}"/>
    <cellStyle name="Обычный 10 2 2 4 2 4" xfId="718" xr:uid="{00000000-0005-0000-0000-0000CC020000}"/>
    <cellStyle name="Обычный 10 2 2 4 3" xfId="719" xr:uid="{00000000-0005-0000-0000-0000CD020000}"/>
    <cellStyle name="Обычный 10 2 2 4 3 2" xfId="720" xr:uid="{00000000-0005-0000-0000-0000CE020000}"/>
    <cellStyle name="Обычный 10 2 2 4 3 2 2" xfId="721" xr:uid="{00000000-0005-0000-0000-0000CF020000}"/>
    <cellStyle name="Обычный 10 2 2 4 3 3" xfId="722" xr:uid="{00000000-0005-0000-0000-0000D0020000}"/>
    <cellStyle name="Обычный 10 2 2 4 4" xfId="723" xr:uid="{00000000-0005-0000-0000-0000D1020000}"/>
    <cellStyle name="Обычный 10 2 2 4 4 2" xfId="724" xr:uid="{00000000-0005-0000-0000-0000D2020000}"/>
    <cellStyle name="Обычный 10 2 2 4 5" xfId="725" xr:uid="{00000000-0005-0000-0000-0000D3020000}"/>
    <cellStyle name="Обычный 10 2 2 5" xfId="726" xr:uid="{00000000-0005-0000-0000-0000D4020000}"/>
    <cellStyle name="Обычный 10 2 2 5 2" xfId="727" xr:uid="{00000000-0005-0000-0000-0000D5020000}"/>
    <cellStyle name="Обычный 10 2 2 5 2 2" xfId="728" xr:uid="{00000000-0005-0000-0000-0000D6020000}"/>
    <cellStyle name="Обычный 10 2 2 5 2 2 2" xfId="729" xr:uid="{00000000-0005-0000-0000-0000D7020000}"/>
    <cellStyle name="Обычный 10 2 2 5 2 3" xfId="730" xr:uid="{00000000-0005-0000-0000-0000D8020000}"/>
    <cellStyle name="Обычный 10 2 2 5 3" xfId="731" xr:uid="{00000000-0005-0000-0000-0000D9020000}"/>
    <cellStyle name="Обычный 10 2 2 5 3 2" xfId="732" xr:uid="{00000000-0005-0000-0000-0000DA020000}"/>
    <cellStyle name="Обычный 10 2 2 5 4" xfId="733" xr:uid="{00000000-0005-0000-0000-0000DB020000}"/>
    <cellStyle name="Обычный 10 2 2 6" xfId="734" xr:uid="{00000000-0005-0000-0000-0000DC020000}"/>
    <cellStyle name="Обычный 10 2 2 6 2" xfId="735" xr:uid="{00000000-0005-0000-0000-0000DD020000}"/>
    <cellStyle name="Обычный 10 2 2 6 2 2" xfId="736" xr:uid="{00000000-0005-0000-0000-0000DE020000}"/>
    <cellStyle name="Обычный 10 2 2 6 3" xfId="737" xr:uid="{00000000-0005-0000-0000-0000DF020000}"/>
    <cellStyle name="Обычный 10 2 2 7" xfId="738" xr:uid="{00000000-0005-0000-0000-0000E0020000}"/>
    <cellStyle name="Обычный 10 2 2 7 2" xfId="739" xr:uid="{00000000-0005-0000-0000-0000E1020000}"/>
    <cellStyle name="Обычный 10 2 2 8" xfId="740" xr:uid="{00000000-0005-0000-0000-0000E2020000}"/>
    <cellStyle name="Обычный 10 2 3" xfId="741" xr:uid="{00000000-0005-0000-0000-0000E3020000}"/>
    <cellStyle name="Обычный 10 2 3 2" xfId="742" xr:uid="{00000000-0005-0000-0000-0000E4020000}"/>
    <cellStyle name="Обычный 10 2 3 2 2" xfId="743" xr:uid="{00000000-0005-0000-0000-0000E5020000}"/>
    <cellStyle name="Обычный 10 2 3 2 2 2" xfId="744" xr:uid="{00000000-0005-0000-0000-0000E6020000}"/>
    <cellStyle name="Обычный 10 2 3 2 2 2 2" xfId="745" xr:uid="{00000000-0005-0000-0000-0000E7020000}"/>
    <cellStyle name="Обычный 10 2 3 2 2 2 2 2" xfId="746" xr:uid="{00000000-0005-0000-0000-0000E8020000}"/>
    <cellStyle name="Обычный 10 2 3 2 2 2 3" xfId="747" xr:uid="{00000000-0005-0000-0000-0000E9020000}"/>
    <cellStyle name="Обычный 10 2 3 2 2 3" xfId="748" xr:uid="{00000000-0005-0000-0000-0000EA020000}"/>
    <cellStyle name="Обычный 10 2 3 2 2 3 2" xfId="749" xr:uid="{00000000-0005-0000-0000-0000EB020000}"/>
    <cellStyle name="Обычный 10 2 3 2 2 4" xfId="750" xr:uid="{00000000-0005-0000-0000-0000EC020000}"/>
    <cellStyle name="Обычный 10 2 3 2 3" xfId="751" xr:uid="{00000000-0005-0000-0000-0000ED020000}"/>
    <cellStyle name="Обычный 10 2 3 2 3 2" xfId="752" xr:uid="{00000000-0005-0000-0000-0000EE020000}"/>
    <cellStyle name="Обычный 10 2 3 2 3 2 2" xfId="753" xr:uid="{00000000-0005-0000-0000-0000EF020000}"/>
    <cellStyle name="Обычный 10 2 3 2 3 3" xfId="754" xr:uid="{00000000-0005-0000-0000-0000F0020000}"/>
    <cellStyle name="Обычный 10 2 3 2 4" xfId="755" xr:uid="{00000000-0005-0000-0000-0000F1020000}"/>
    <cellStyle name="Обычный 10 2 3 2 4 2" xfId="756" xr:uid="{00000000-0005-0000-0000-0000F2020000}"/>
    <cellStyle name="Обычный 10 2 3 2 5" xfId="757" xr:uid="{00000000-0005-0000-0000-0000F3020000}"/>
    <cellStyle name="Обычный 10 2 3 3" xfId="758" xr:uid="{00000000-0005-0000-0000-0000F4020000}"/>
    <cellStyle name="Обычный 10 2 3 3 2" xfId="759" xr:uid="{00000000-0005-0000-0000-0000F5020000}"/>
    <cellStyle name="Обычный 10 2 3 3 2 2" xfId="760" xr:uid="{00000000-0005-0000-0000-0000F6020000}"/>
    <cellStyle name="Обычный 10 2 3 3 2 2 2" xfId="761" xr:uid="{00000000-0005-0000-0000-0000F7020000}"/>
    <cellStyle name="Обычный 10 2 3 3 2 2 2 2" xfId="762" xr:uid="{00000000-0005-0000-0000-0000F8020000}"/>
    <cellStyle name="Обычный 10 2 3 3 2 2 3" xfId="763" xr:uid="{00000000-0005-0000-0000-0000F9020000}"/>
    <cellStyle name="Обычный 10 2 3 3 2 3" xfId="764" xr:uid="{00000000-0005-0000-0000-0000FA020000}"/>
    <cellStyle name="Обычный 10 2 3 3 2 3 2" xfId="765" xr:uid="{00000000-0005-0000-0000-0000FB020000}"/>
    <cellStyle name="Обычный 10 2 3 3 2 4" xfId="766" xr:uid="{00000000-0005-0000-0000-0000FC020000}"/>
    <cellStyle name="Обычный 10 2 3 3 3" xfId="767" xr:uid="{00000000-0005-0000-0000-0000FD020000}"/>
    <cellStyle name="Обычный 10 2 3 3 3 2" xfId="768" xr:uid="{00000000-0005-0000-0000-0000FE020000}"/>
    <cellStyle name="Обычный 10 2 3 3 3 2 2" xfId="769" xr:uid="{00000000-0005-0000-0000-0000FF020000}"/>
    <cellStyle name="Обычный 10 2 3 3 3 3" xfId="770" xr:uid="{00000000-0005-0000-0000-000000030000}"/>
    <cellStyle name="Обычный 10 2 3 3 4" xfId="771" xr:uid="{00000000-0005-0000-0000-000001030000}"/>
    <cellStyle name="Обычный 10 2 3 3 4 2" xfId="772" xr:uid="{00000000-0005-0000-0000-000002030000}"/>
    <cellStyle name="Обычный 10 2 3 3 5" xfId="773" xr:uid="{00000000-0005-0000-0000-000003030000}"/>
    <cellStyle name="Обычный 10 2 3 4" xfId="774" xr:uid="{00000000-0005-0000-0000-000004030000}"/>
    <cellStyle name="Обычный 10 2 3 4 2" xfId="775" xr:uid="{00000000-0005-0000-0000-000005030000}"/>
    <cellStyle name="Обычный 10 2 3 4 2 2" xfId="776" xr:uid="{00000000-0005-0000-0000-000006030000}"/>
    <cellStyle name="Обычный 10 2 3 4 2 2 2" xfId="777" xr:uid="{00000000-0005-0000-0000-000007030000}"/>
    <cellStyle name="Обычный 10 2 3 4 2 2 2 2" xfId="778" xr:uid="{00000000-0005-0000-0000-000008030000}"/>
    <cellStyle name="Обычный 10 2 3 4 2 2 3" xfId="779" xr:uid="{00000000-0005-0000-0000-000009030000}"/>
    <cellStyle name="Обычный 10 2 3 4 2 3" xfId="780" xr:uid="{00000000-0005-0000-0000-00000A030000}"/>
    <cellStyle name="Обычный 10 2 3 4 2 3 2" xfId="781" xr:uid="{00000000-0005-0000-0000-00000B030000}"/>
    <cellStyle name="Обычный 10 2 3 4 2 4" xfId="782" xr:uid="{00000000-0005-0000-0000-00000C030000}"/>
    <cellStyle name="Обычный 10 2 3 4 3" xfId="783" xr:uid="{00000000-0005-0000-0000-00000D030000}"/>
    <cellStyle name="Обычный 10 2 3 4 3 2" xfId="784" xr:uid="{00000000-0005-0000-0000-00000E030000}"/>
    <cellStyle name="Обычный 10 2 3 4 3 2 2" xfId="785" xr:uid="{00000000-0005-0000-0000-00000F030000}"/>
    <cellStyle name="Обычный 10 2 3 4 3 3" xfId="786" xr:uid="{00000000-0005-0000-0000-000010030000}"/>
    <cellStyle name="Обычный 10 2 3 4 4" xfId="787" xr:uid="{00000000-0005-0000-0000-000011030000}"/>
    <cellStyle name="Обычный 10 2 3 4 4 2" xfId="788" xr:uid="{00000000-0005-0000-0000-000012030000}"/>
    <cellStyle name="Обычный 10 2 3 4 5" xfId="789" xr:uid="{00000000-0005-0000-0000-000013030000}"/>
    <cellStyle name="Обычный 10 2 3 5" xfId="790" xr:uid="{00000000-0005-0000-0000-000014030000}"/>
    <cellStyle name="Обычный 10 2 3 5 2" xfId="791" xr:uid="{00000000-0005-0000-0000-000015030000}"/>
    <cellStyle name="Обычный 10 2 3 5 2 2" xfId="792" xr:uid="{00000000-0005-0000-0000-000016030000}"/>
    <cellStyle name="Обычный 10 2 3 5 2 2 2" xfId="793" xr:uid="{00000000-0005-0000-0000-000017030000}"/>
    <cellStyle name="Обычный 10 2 3 5 2 3" xfId="794" xr:uid="{00000000-0005-0000-0000-000018030000}"/>
    <cellStyle name="Обычный 10 2 3 5 3" xfId="795" xr:uid="{00000000-0005-0000-0000-000019030000}"/>
    <cellStyle name="Обычный 10 2 3 5 3 2" xfId="796" xr:uid="{00000000-0005-0000-0000-00001A030000}"/>
    <cellStyle name="Обычный 10 2 3 5 4" xfId="797" xr:uid="{00000000-0005-0000-0000-00001B030000}"/>
    <cellStyle name="Обычный 10 2 3 6" xfId="798" xr:uid="{00000000-0005-0000-0000-00001C030000}"/>
    <cellStyle name="Обычный 10 2 3 6 2" xfId="799" xr:uid="{00000000-0005-0000-0000-00001D030000}"/>
    <cellStyle name="Обычный 10 2 3 6 2 2" xfId="800" xr:uid="{00000000-0005-0000-0000-00001E030000}"/>
    <cellStyle name="Обычный 10 2 3 6 3" xfId="801" xr:uid="{00000000-0005-0000-0000-00001F030000}"/>
    <cellStyle name="Обычный 10 2 3 7" xfId="802" xr:uid="{00000000-0005-0000-0000-000020030000}"/>
    <cellStyle name="Обычный 10 2 3 7 2" xfId="803" xr:uid="{00000000-0005-0000-0000-000021030000}"/>
    <cellStyle name="Обычный 10 2 3 8" xfId="804" xr:uid="{00000000-0005-0000-0000-000022030000}"/>
    <cellStyle name="Обычный 10 2 4" xfId="805" xr:uid="{00000000-0005-0000-0000-000023030000}"/>
    <cellStyle name="Обычный 10 2 4 2" xfId="806" xr:uid="{00000000-0005-0000-0000-000024030000}"/>
    <cellStyle name="Обычный 10 2 4 2 2" xfId="807" xr:uid="{00000000-0005-0000-0000-000025030000}"/>
    <cellStyle name="Обычный 10 2 4 2 2 2" xfId="808" xr:uid="{00000000-0005-0000-0000-000026030000}"/>
    <cellStyle name="Обычный 10 2 4 2 2 2 2" xfId="809" xr:uid="{00000000-0005-0000-0000-000027030000}"/>
    <cellStyle name="Обычный 10 2 4 2 2 3" xfId="810" xr:uid="{00000000-0005-0000-0000-000028030000}"/>
    <cellStyle name="Обычный 10 2 4 2 3" xfId="811" xr:uid="{00000000-0005-0000-0000-000029030000}"/>
    <cellStyle name="Обычный 10 2 4 2 3 2" xfId="812" xr:uid="{00000000-0005-0000-0000-00002A030000}"/>
    <cellStyle name="Обычный 10 2 4 2 4" xfId="813" xr:uid="{00000000-0005-0000-0000-00002B030000}"/>
    <cellStyle name="Обычный 10 2 4 3" xfId="814" xr:uid="{00000000-0005-0000-0000-00002C030000}"/>
    <cellStyle name="Обычный 10 2 4 3 2" xfId="815" xr:uid="{00000000-0005-0000-0000-00002D030000}"/>
    <cellStyle name="Обычный 10 2 4 3 2 2" xfId="816" xr:uid="{00000000-0005-0000-0000-00002E030000}"/>
    <cellStyle name="Обычный 10 2 4 3 3" xfId="817" xr:uid="{00000000-0005-0000-0000-00002F030000}"/>
    <cellStyle name="Обычный 10 2 4 4" xfId="818" xr:uid="{00000000-0005-0000-0000-000030030000}"/>
    <cellStyle name="Обычный 10 2 4 4 2" xfId="819" xr:uid="{00000000-0005-0000-0000-000031030000}"/>
    <cellStyle name="Обычный 10 2 4 5" xfId="820" xr:uid="{00000000-0005-0000-0000-000032030000}"/>
    <cellStyle name="Обычный 10 2 5" xfId="821" xr:uid="{00000000-0005-0000-0000-000033030000}"/>
    <cellStyle name="Обычный 10 2 5 2" xfId="822" xr:uid="{00000000-0005-0000-0000-000034030000}"/>
    <cellStyle name="Обычный 10 2 5 2 2" xfId="823" xr:uid="{00000000-0005-0000-0000-000035030000}"/>
    <cellStyle name="Обычный 10 2 5 2 2 2" xfId="824" xr:uid="{00000000-0005-0000-0000-000036030000}"/>
    <cellStyle name="Обычный 10 2 5 2 2 2 2" xfId="825" xr:uid="{00000000-0005-0000-0000-000037030000}"/>
    <cellStyle name="Обычный 10 2 5 2 2 3" xfId="826" xr:uid="{00000000-0005-0000-0000-000038030000}"/>
    <cellStyle name="Обычный 10 2 5 2 3" xfId="827" xr:uid="{00000000-0005-0000-0000-000039030000}"/>
    <cellStyle name="Обычный 10 2 5 2 3 2" xfId="828" xr:uid="{00000000-0005-0000-0000-00003A030000}"/>
    <cellStyle name="Обычный 10 2 5 2 4" xfId="829" xr:uid="{00000000-0005-0000-0000-00003B030000}"/>
    <cellStyle name="Обычный 10 2 5 3" xfId="830" xr:uid="{00000000-0005-0000-0000-00003C030000}"/>
    <cellStyle name="Обычный 10 2 5 3 2" xfId="831" xr:uid="{00000000-0005-0000-0000-00003D030000}"/>
    <cellStyle name="Обычный 10 2 5 3 2 2" xfId="832" xr:uid="{00000000-0005-0000-0000-00003E030000}"/>
    <cellStyle name="Обычный 10 2 5 3 3" xfId="833" xr:uid="{00000000-0005-0000-0000-00003F030000}"/>
    <cellStyle name="Обычный 10 2 5 4" xfId="834" xr:uid="{00000000-0005-0000-0000-000040030000}"/>
    <cellStyle name="Обычный 10 2 5 4 2" xfId="835" xr:uid="{00000000-0005-0000-0000-000041030000}"/>
    <cellStyle name="Обычный 10 2 5 5" xfId="836" xr:uid="{00000000-0005-0000-0000-000042030000}"/>
    <cellStyle name="Обычный 10 2 6" xfId="837" xr:uid="{00000000-0005-0000-0000-000043030000}"/>
    <cellStyle name="Обычный 10 2 6 2" xfId="838" xr:uid="{00000000-0005-0000-0000-000044030000}"/>
    <cellStyle name="Обычный 10 2 6 2 2" xfId="839" xr:uid="{00000000-0005-0000-0000-000045030000}"/>
    <cellStyle name="Обычный 10 2 6 2 2 2" xfId="840" xr:uid="{00000000-0005-0000-0000-000046030000}"/>
    <cellStyle name="Обычный 10 2 6 2 2 2 2" xfId="841" xr:uid="{00000000-0005-0000-0000-000047030000}"/>
    <cellStyle name="Обычный 10 2 6 2 2 3" xfId="842" xr:uid="{00000000-0005-0000-0000-000048030000}"/>
    <cellStyle name="Обычный 10 2 6 2 3" xfId="843" xr:uid="{00000000-0005-0000-0000-000049030000}"/>
    <cellStyle name="Обычный 10 2 6 2 3 2" xfId="844" xr:uid="{00000000-0005-0000-0000-00004A030000}"/>
    <cellStyle name="Обычный 10 2 6 2 4" xfId="845" xr:uid="{00000000-0005-0000-0000-00004B030000}"/>
    <cellStyle name="Обычный 10 2 6 3" xfId="846" xr:uid="{00000000-0005-0000-0000-00004C030000}"/>
    <cellStyle name="Обычный 10 2 6 3 2" xfId="847" xr:uid="{00000000-0005-0000-0000-00004D030000}"/>
    <cellStyle name="Обычный 10 2 6 3 2 2" xfId="848" xr:uid="{00000000-0005-0000-0000-00004E030000}"/>
    <cellStyle name="Обычный 10 2 6 3 3" xfId="849" xr:uid="{00000000-0005-0000-0000-00004F030000}"/>
    <cellStyle name="Обычный 10 2 6 4" xfId="850" xr:uid="{00000000-0005-0000-0000-000050030000}"/>
    <cellStyle name="Обычный 10 2 6 4 2" xfId="851" xr:uid="{00000000-0005-0000-0000-000051030000}"/>
    <cellStyle name="Обычный 10 2 6 5" xfId="852" xr:uid="{00000000-0005-0000-0000-000052030000}"/>
    <cellStyle name="Обычный 10 2 7" xfId="853" xr:uid="{00000000-0005-0000-0000-000053030000}"/>
    <cellStyle name="Обычный 10 2 7 2" xfId="854" xr:uid="{00000000-0005-0000-0000-000054030000}"/>
    <cellStyle name="Обычный 10 2 7 2 2" xfId="855" xr:uid="{00000000-0005-0000-0000-000055030000}"/>
    <cellStyle name="Обычный 10 2 7 2 2 2" xfId="856" xr:uid="{00000000-0005-0000-0000-000056030000}"/>
    <cellStyle name="Обычный 10 2 7 2 3" xfId="857" xr:uid="{00000000-0005-0000-0000-000057030000}"/>
    <cellStyle name="Обычный 10 2 7 3" xfId="858" xr:uid="{00000000-0005-0000-0000-000058030000}"/>
    <cellStyle name="Обычный 10 2 7 3 2" xfId="859" xr:uid="{00000000-0005-0000-0000-000059030000}"/>
    <cellStyle name="Обычный 10 2 7 4" xfId="860" xr:uid="{00000000-0005-0000-0000-00005A030000}"/>
    <cellStyle name="Обычный 10 2 8" xfId="861" xr:uid="{00000000-0005-0000-0000-00005B030000}"/>
    <cellStyle name="Обычный 10 2 8 2" xfId="862" xr:uid="{00000000-0005-0000-0000-00005C030000}"/>
    <cellStyle name="Обычный 10 2 8 2 2" xfId="863" xr:uid="{00000000-0005-0000-0000-00005D030000}"/>
    <cellStyle name="Обычный 10 2 8 3" xfId="864" xr:uid="{00000000-0005-0000-0000-00005E030000}"/>
    <cellStyle name="Обычный 10 2 9" xfId="865" xr:uid="{00000000-0005-0000-0000-00005F030000}"/>
    <cellStyle name="Обычный 10 2 9 2" xfId="866" xr:uid="{00000000-0005-0000-0000-000060030000}"/>
    <cellStyle name="Обычный 10 3" xfId="867" xr:uid="{00000000-0005-0000-0000-000061030000}"/>
    <cellStyle name="Обычный 10 3 10" xfId="868" xr:uid="{00000000-0005-0000-0000-000062030000}"/>
    <cellStyle name="Обычный 10 3 10 2" xfId="869" xr:uid="{00000000-0005-0000-0000-000063030000}"/>
    <cellStyle name="Обычный 10 3 10 2 2" xfId="870" xr:uid="{00000000-0005-0000-0000-000064030000}"/>
    <cellStyle name="Обычный 10 3 10 2 2 2" xfId="871" xr:uid="{00000000-0005-0000-0000-000065030000}"/>
    <cellStyle name="Обычный 10 3 10 2 2 2 2" xfId="872" xr:uid="{00000000-0005-0000-0000-000066030000}"/>
    <cellStyle name="Обычный 10 3 10 2 2 3" xfId="873" xr:uid="{00000000-0005-0000-0000-000067030000}"/>
    <cellStyle name="Обычный 10 3 10 2 3" xfId="874" xr:uid="{00000000-0005-0000-0000-000068030000}"/>
    <cellStyle name="Обычный 10 3 10 2 3 2" xfId="875" xr:uid="{00000000-0005-0000-0000-000069030000}"/>
    <cellStyle name="Обычный 10 3 10 2 4" xfId="876" xr:uid="{00000000-0005-0000-0000-00006A030000}"/>
    <cellStyle name="Обычный 10 3 10 3" xfId="877" xr:uid="{00000000-0005-0000-0000-00006B030000}"/>
    <cellStyle name="Обычный 10 3 10 3 2" xfId="878" xr:uid="{00000000-0005-0000-0000-00006C030000}"/>
    <cellStyle name="Обычный 10 3 10 3 2 2" xfId="879" xr:uid="{00000000-0005-0000-0000-00006D030000}"/>
    <cellStyle name="Обычный 10 3 10 3 3" xfId="880" xr:uid="{00000000-0005-0000-0000-00006E030000}"/>
    <cellStyle name="Обычный 10 3 10 4" xfId="881" xr:uid="{00000000-0005-0000-0000-00006F030000}"/>
    <cellStyle name="Обычный 10 3 10 4 2" xfId="882" xr:uid="{00000000-0005-0000-0000-000070030000}"/>
    <cellStyle name="Обычный 10 3 10 5" xfId="883" xr:uid="{00000000-0005-0000-0000-000071030000}"/>
    <cellStyle name="Обычный 10 3 11" xfId="884" xr:uid="{00000000-0005-0000-0000-000072030000}"/>
    <cellStyle name="Обычный 10 3 11 2" xfId="885" xr:uid="{00000000-0005-0000-0000-000073030000}"/>
    <cellStyle name="Обычный 10 3 11 2 2" xfId="886" xr:uid="{00000000-0005-0000-0000-000074030000}"/>
    <cellStyle name="Обычный 10 3 11 2 2 2" xfId="887" xr:uid="{00000000-0005-0000-0000-000075030000}"/>
    <cellStyle name="Обычный 10 3 11 2 3" xfId="888" xr:uid="{00000000-0005-0000-0000-000076030000}"/>
    <cellStyle name="Обычный 10 3 11 3" xfId="889" xr:uid="{00000000-0005-0000-0000-000077030000}"/>
    <cellStyle name="Обычный 10 3 11 3 2" xfId="890" xr:uid="{00000000-0005-0000-0000-000078030000}"/>
    <cellStyle name="Обычный 10 3 11 4" xfId="891" xr:uid="{00000000-0005-0000-0000-000079030000}"/>
    <cellStyle name="Обычный 10 3 12" xfId="892" xr:uid="{00000000-0005-0000-0000-00007A030000}"/>
    <cellStyle name="Обычный 10 3 12 2" xfId="893" xr:uid="{00000000-0005-0000-0000-00007B030000}"/>
    <cellStyle name="Обычный 10 3 12 2 2" xfId="894" xr:uid="{00000000-0005-0000-0000-00007C030000}"/>
    <cellStyle name="Обычный 10 3 12 3" xfId="895" xr:uid="{00000000-0005-0000-0000-00007D030000}"/>
    <cellStyle name="Обычный 10 3 13" xfId="896" xr:uid="{00000000-0005-0000-0000-00007E030000}"/>
    <cellStyle name="Обычный 10 3 13 2" xfId="897" xr:uid="{00000000-0005-0000-0000-00007F030000}"/>
    <cellStyle name="Обычный 10 3 14" xfId="898" xr:uid="{00000000-0005-0000-0000-000080030000}"/>
    <cellStyle name="Обычный 10 3 2" xfId="899" xr:uid="{00000000-0005-0000-0000-000081030000}"/>
    <cellStyle name="Обычный 10 3 2 10" xfId="900" xr:uid="{00000000-0005-0000-0000-000082030000}"/>
    <cellStyle name="Обычный 10 3 2 2" xfId="901" xr:uid="{00000000-0005-0000-0000-000083030000}"/>
    <cellStyle name="Обычный 10 3 2 2 2" xfId="902" xr:uid="{00000000-0005-0000-0000-000084030000}"/>
    <cellStyle name="Обычный 10 3 2 2 2 2" xfId="903" xr:uid="{00000000-0005-0000-0000-000085030000}"/>
    <cellStyle name="Обычный 10 3 2 2 2 2 2" xfId="904" xr:uid="{00000000-0005-0000-0000-000086030000}"/>
    <cellStyle name="Обычный 10 3 2 2 2 2 2 2" xfId="905" xr:uid="{00000000-0005-0000-0000-000087030000}"/>
    <cellStyle name="Обычный 10 3 2 2 2 2 2 2 2" xfId="906" xr:uid="{00000000-0005-0000-0000-000088030000}"/>
    <cellStyle name="Обычный 10 3 2 2 2 2 2 3" xfId="907" xr:uid="{00000000-0005-0000-0000-000089030000}"/>
    <cellStyle name="Обычный 10 3 2 2 2 2 3" xfId="908" xr:uid="{00000000-0005-0000-0000-00008A030000}"/>
    <cellStyle name="Обычный 10 3 2 2 2 2 3 2" xfId="909" xr:uid="{00000000-0005-0000-0000-00008B030000}"/>
    <cellStyle name="Обычный 10 3 2 2 2 2 4" xfId="910" xr:uid="{00000000-0005-0000-0000-00008C030000}"/>
    <cellStyle name="Обычный 10 3 2 2 2 3" xfId="911" xr:uid="{00000000-0005-0000-0000-00008D030000}"/>
    <cellStyle name="Обычный 10 3 2 2 2 3 2" xfId="912" xr:uid="{00000000-0005-0000-0000-00008E030000}"/>
    <cellStyle name="Обычный 10 3 2 2 2 3 2 2" xfId="913" xr:uid="{00000000-0005-0000-0000-00008F030000}"/>
    <cellStyle name="Обычный 10 3 2 2 2 3 3" xfId="914" xr:uid="{00000000-0005-0000-0000-000090030000}"/>
    <cellStyle name="Обычный 10 3 2 2 2 4" xfId="915" xr:uid="{00000000-0005-0000-0000-000091030000}"/>
    <cellStyle name="Обычный 10 3 2 2 2 4 2" xfId="916" xr:uid="{00000000-0005-0000-0000-000092030000}"/>
    <cellStyle name="Обычный 10 3 2 2 2 5" xfId="917" xr:uid="{00000000-0005-0000-0000-000093030000}"/>
    <cellStyle name="Обычный 10 3 2 2 3" xfId="918" xr:uid="{00000000-0005-0000-0000-000094030000}"/>
    <cellStyle name="Обычный 10 3 2 2 3 2" xfId="919" xr:uid="{00000000-0005-0000-0000-000095030000}"/>
    <cellStyle name="Обычный 10 3 2 2 3 2 2" xfId="920" xr:uid="{00000000-0005-0000-0000-000096030000}"/>
    <cellStyle name="Обычный 10 3 2 2 3 2 2 2" xfId="921" xr:uid="{00000000-0005-0000-0000-000097030000}"/>
    <cellStyle name="Обычный 10 3 2 2 3 2 2 2 2" xfId="922" xr:uid="{00000000-0005-0000-0000-000098030000}"/>
    <cellStyle name="Обычный 10 3 2 2 3 2 2 3" xfId="923" xr:uid="{00000000-0005-0000-0000-000099030000}"/>
    <cellStyle name="Обычный 10 3 2 2 3 2 3" xfId="924" xr:uid="{00000000-0005-0000-0000-00009A030000}"/>
    <cellStyle name="Обычный 10 3 2 2 3 2 3 2" xfId="925" xr:uid="{00000000-0005-0000-0000-00009B030000}"/>
    <cellStyle name="Обычный 10 3 2 2 3 2 4" xfId="926" xr:uid="{00000000-0005-0000-0000-00009C030000}"/>
    <cellStyle name="Обычный 10 3 2 2 3 3" xfId="927" xr:uid="{00000000-0005-0000-0000-00009D030000}"/>
    <cellStyle name="Обычный 10 3 2 2 3 3 2" xfId="928" xr:uid="{00000000-0005-0000-0000-00009E030000}"/>
    <cellStyle name="Обычный 10 3 2 2 3 3 2 2" xfId="929" xr:uid="{00000000-0005-0000-0000-00009F030000}"/>
    <cellStyle name="Обычный 10 3 2 2 3 3 3" xfId="930" xr:uid="{00000000-0005-0000-0000-0000A0030000}"/>
    <cellStyle name="Обычный 10 3 2 2 3 4" xfId="931" xr:uid="{00000000-0005-0000-0000-0000A1030000}"/>
    <cellStyle name="Обычный 10 3 2 2 3 4 2" xfId="932" xr:uid="{00000000-0005-0000-0000-0000A2030000}"/>
    <cellStyle name="Обычный 10 3 2 2 3 5" xfId="933" xr:uid="{00000000-0005-0000-0000-0000A3030000}"/>
    <cellStyle name="Обычный 10 3 2 2 4" xfId="934" xr:uid="{00000000-0005-0000-0000-0000A4030000}"/>
    <cellStyle name="Обычный 10 3 2 2 4 2" xfId="935" xr:uid="{00000000-0005-0000-0000-0000A5030000}"/>
    <cellStyle name="Обычный 10 3 2 2 4 2 2" xfId="936" xr:uid="{00000000-0005-0000-0000-0000A6030000}"/>
    <cellStyle name="Обычный 10 3 2 2 4 2 2 2" xfId="937" xr:uid="{00000000-0005-0000-0000-0000A7030000}"/>
    <cellStyle name="Обычный 10 3 2 2 4 2 2 2 2" xfId="938" xr:uid="{00000000-0005-0000-0000-0000A8030000}"/>
    <cellStyle name="Обычный 10 3 2 2 4 2 2 3" xfId="939" xr:uid="{00000000-0005-0000-0000-0000A9030000}"/>
    <cellStyle name="Обычный 10 3 2 2 4 2 3" xfId="940" xr:uid="{00000000-0005-0000-0000-0000AA030000}"/>
    <cellStyle name="Обычный 10 3 2 2 4 2 3 2" xfId="941" xr:uid="{00000000-0005-0000-0000-0000AB030000}"/>
    <cellStyle name="Обычный 10 3 2 2 4 2 4" xfId="942" xr:uid="{00000000-0005-0000-0000-0000AC030000}"/>
    <cellStyle name="Обычный 10 3 2 2 4 3" xfId="943" xr:uid="{00000000-0005-0000-0000-0000AD030000}"/>
    <cellStyle name="Обычный 10 3 2 2 4 3 2" xfId="944" xr:uid="{00000000-0005-0000-0000-0000AE030000}"/>
    <cellStyle name="Обычный 10 3 2 2 4 3 2 2" xfId="945" xr:uid="{00000000-0005-0000-0000-0000AF030000}"/>
    <cellStyle name="Обычный 10 3 2 2 4 3 3" xfId="946" xr:uid="{00000000-0005-0000-0000-0000B0030000}"/>
    <cellStyle name="Обычный 10 3 2 2 4 4" xfId="947" xr:uid="{00000000-0005-0000-0000-0000B1030000}"/>
    <cellStyle name="Обычный 10 3 2 2 4 4 2" xfId="948" xr:uid="{00000000-0005-0000-0000-0000B2030000}"/>
    <cellStyle name="Обычный 10 3 2 2 4 5" xfId="949" xr:uid="{00000000-0005-0000-0000-0000B3030000}"/>
    <cellStyle name="Обычный 10 3 2 2 5" xfId="950" xr:uid="{00000000-0005-0000-0000-0000B4030000}"/>
    <cellStyle name="Обычный 10 3 2 2 5 2" xfId="951" xr:uid="{00000000-0005-0000-0000-0000B5030000}"/>
    <cellStyle name="Обычный 10 3 2 2 5 2 2" xfId="952" xr:uid="{00000000-0005-0000-0000-0000B6030000}"/>
    <cellStyle name="Обычный 10 3 2 2 5 2 2 2" xfId="953" xr:uid="{00000000-0005-0000-0000-0000B7030000}"/>
    <cellStyle name="Обычный 10 3 2 2 5 2 3" xfId="954" xr:uid="{00000000-0005-0000-0000-0000B8030000}"/>
    <cellStyle name="Обычный 10 3 2 2 5 3" xfId="955" xr:uid="{00000000-0005-0000-0000-0000B9030000}"/>
    <cellStyle name="Обычный 10 3 2 2 5 3 2" xfId="956" xr:uid="{00000000-0005-0000-0000-0000BA030000}"/>
    <cellStyle name="Обычный 10 3 2 2 5 4" xfId="957" xr:uid="{00000000-0005-0000-0000-0000BB030000}"/>
    <cellStyle name="Обычный 10 3 2 2 6" xfId="958" xr:uid="{00000000-0005-0000-0000-0000BC030000}"/>
    <cellStyle name="Обычный 10 3 2 2 6 2" xfId="959" xr:uid="{00000000-0005-0000-0000-0000BD030000}"/>
    <cellStyle name="Обычный 10 3 2 2 6 2 2" xfId="960" xr:uid="{00000000-0005-0000-0000-0000BE030000}"/>
    <cellStyle name="Обычный 10 3 2 2 6 3" xfId="961" xr:uid="{00000000-0005-0000-0000-0000BF030000}"/>
    <cellStyle name="Обычный 10 3 2 2 7" xfId="962" xr:uid="{00000000-0005-0000-0000-0000C0030000}"/>
    <cellStyle name="Обычный 10 3 2 2 7 2" xfId="963" xr:uid="{00000000-0005-0000-0000-0000C1030000}"/>
    <cellStyle name="Обычный 10 3 2 2 8" xfId="964" xr:uid="{00000000-0005-0000-0000-0000C2030000}"/>
    <cellStyle name="Обычный 10 3 2 3" xfId="965" xr:uid="{00000000-0005-0000-0000-0000C3030000}"/>
    <cellStyle name="Обычный 10 3 2 3 2" xfId="966" xr:uid="{00000000-0005-0000-0000-0000C4030000}"/>
    <cellStyle name="Обычный 10 3 2 3 2 2" xfId="967" xr:uid="{00000000-0005-0000-0000-0000C5030000}"/>
    <cellStyle name="Обычный 10 3 2 3 2 2 2" xfId="968" xr:uid="{00000000-0005-0000-0000-0000C6030000}"/>
    <cellStyle name="Обычный 10 3 2 3 2 2 2 2" xfId="969" xr:uid="{00000000-0005-0000-0000-0000C7030000}"/>
    <cellStyle name="Обычный 10 3 2 3 2 2 2 2 2" xfId="970" xr:uid="{00000000-0005-0000-0000-0000C8030000}"/>
    <cellStyle name="Обычный 10 3 2 3 2 2 2 3" xfId="971" xr:uid="{00000000-0005-0000-0000-0000C9030000}"/>
    <cellStyle name="Обычный 10 3 2 3 2 2 3" xfId="972" xr:uid="{00000000-0005-0000-0000-0000CA030000}"/>
    <cellStyle name="Обычный 10 3 2 3 2 2 3 2" xfId="973" xr:uid="{00000000-0005-0000-0000-0000CB030000}"/>
    <cellStyle name="Обычный 10 3 2 3 2 2 4" xfId="974" xr:uid="{00000000-0005-0000-0000-0000CC030000}"/>
    <cellStyle name="Обычный 10 3 2 3 2 3" xfId="975" xr:uid="{00000000-0005-0000-0000-0000CD030000}"/>
    <cellStyle name="Обычный 10 3 2 3 2 3 2" xfId="976" xr:uid="{00000000-0005-0000-0000-0000CE030000}"/>
    <cellStyle name="Обычный 10 3 2 3 2 3 2 2" xfId="977" xr:uid="{00000000-0005-0000-0000-0000CF030000}"/>
    <cellStyle name="Обычный 10 3 2 3 2 3 3" xfId="978" xr:uid="{00000000-0005-0000-0000-0000D0030000}"/>
    <cellStyle name="Обычный 10 3 2 3 2 4" xfId="979" xr:uid="{00000000-0005-0000-0000-0000D1030000}"/>
    <cellStyle name="Обычный 10 3 2 3 2 4 2" xfId="980" xr:uid="{00000000-0005-0000-0000-0000D2030000}"/>
    <cellStyle name="Обычный 10 3 2 3 2 5" xfId="981" xr:uid="{00000000-0005-0000-0000-0000D3030000}"/>
    <cellStyle name="Обычный 10 3 2 3 3" xfId="982" xr:uid="{00000000-0005-0000-0000-0000D4030000}"/>
    <cellStyle name="Обычный 10 3 2 3 3 2" xfId="983" xr:uid="{00000000-0005-0000-0000-0000D5030000}"/>
    <cellStyle name="Обычный 10 3 2 3 3 2 2" xfId="984" xr:uid="{00000000-0005-0000-0000-0000D6030000}"/>
    <cellStyle name="Обычный 10 3 2 3 3 2 2 2" xfId="985" xr:uid="{00000000-0005-0000-0000-0000D7030000}"/>
    <cellStyle name="Обычный 10 3 2 3 3 2 2 2 2" xfId="986" xr:uid="{00000000-0005-0000-0000-0000D8030000}"/>
    <cellStyle name="Обычный 10 3 2 3 3 2 2 3" xfId="987" xr:uid="{00000000-0005-0000-0000-0000D9030000}"/>
    <cellStyle name="Обычный 10 3 2 3 3 2 3" xfId="988" xr:uid="{00000000-0005-0000-0000-0000DA030000}"/>
    <cellStyle name="Обычный 10 3 2 3 3 2 3 2" xfId="989" xr:uid="{00000000-0005-0000-0000-0000DB030000}"/>
    <cellStyle name="Обычный 10 3 2 3 3 2 4" xfId="990" xr:uid="{00000000-0005-0000-0000-0000DC030000}"/>
    <cellStyle name="Обычный 10 3 2 3 3 3" xfId="991" xr:uid="{00000000-0005-0000-0000-0000DD030000}"/>
    <cellStyle name="Обычный 10 3 2 3 3 3 2" xfId="992" xr:uid="{00000000-0005-0000-0000-0000DE030000}"/>
    <cellStyle name="Обычный 10 3 2 3 3 3 2 2" xfId="993" xr:uid="{00000000-0005-0000-0000-0000DF030000}"/>
    <cellStyle name="Обычный 10 3 2 3 3 3 3" xfId="994" xr:uid="{00000000-0005-0000-0000-0000E0030000}"/>
    <cellStyle name="Обычный 10 3 2 3 3 4" xfId="995" xr:uid="{00000000-0005-0000-0000-0000E1030000}"/>
    <cellStyle name="Обычный 10 3 2 3 3 4 2" xfId="996" xr:uid="{00000000-0005-0000-0000-0000E2030000}"/>
    <cellStyle name="Обычный 10 3 2 3 3 5" xfId="997" xr:uid="{00000000-0005-0000-0000-0000E3030000}"/>
    <cellStyle name="Обычный 10 3 2 3 4" xfId="998" xr:uid="{00000000-0005-0000-0000-0000E4030000}"/>
    <cellStyle name="Обычный 10 3 2 3 4 2" xfId="999" xr:uid="{00000000-0005-0000-0000-0000E5030000}"/>
    <cellStyle name="Обычный 10 3 2 3 4 2 2" xfId="1000" xr:uid="{00000000-0005-0000-0000-0000E6030000}"/>
    <cellStyle name="Обычный 10 3 2 3 4 2 2 2" xfId="1001" xr:uid="{00000000-0005-0000-0000-0000E7030000}"/>
    <cellStyle name="Обычный 10 3 2 3 4 2 2 2 2" xfId="1002" xr:uid="{00000000-0005-0000-0000-0000E8030000}"/>
    <cellStyle name="Обычный 10 3 2 3 4 2 2 3" xfId="1003" xr:uid="{00000000-0005-0000-0000-0000E9030000}"/>
    <cellStyle name="Обычный 10 3 2 3 4 2 3" xfId="1004" xr:uid="{00000000-0005-0000-0000-0000EA030000}"/>
    <cellStyle name="Обычный 10 3 2 3 4 2 3 2" xfId="1005" xr:uid="{00000000-0005-0000-0000-0000EB030000}"/>
    <cellStyle name="Обычный 10 3 2 3 4 2 4" xfId="1006" xr:uid="{00000000-0005-0000-0000-0000EC030000}"/>
    <cellStyle name="Обычный 10 3 2 3 4 3" xfId="1007" xr:uid="{00000000-0005-0000-0000-0000ED030000}"/>
    <cellStyle name="Обычный 10 3 2 3 4 3 2" xfId="1008" xr:uid="{00000000-0005-0000-0000-0000EE030000}"/>
    <cellStyle name="Обычный 10 3 2 3 4 3 2 2" xfId="1009" xr:uid="{00000000-0005-0000-0000-0000EF030000}"/>
    <cellStyle name="Обычный 10 3 2 3 4 3 3" xfId="1010" xr:uid="{00000000-0005-0000-0000-0000F0030000}"/>
    <cellStyle name="Обычный 10 3 2 3 4 4" xfId="1011" xr:uid="{00000000-0005-0000-0000-0000F1030000}"/>
    <cellStyle name="Обычный 10 3 2 3 4 4 2" xfId="1012" xr:uid="{00000000-0005-0000-0000-0000F2030000}"/>
    <cellStyle name="Обычный 10 3 2 3 4 5" xfId="1013" xr:uid="{00000000-0005-0000-0000-0000F3030000}"/>
    <cellStyle name="Обычный 10 3 2 3 5" xfId="1014" xr:uid="{00000000-0005-0000-0000-0000F4030000}"/>
    <cellStyle name="Обычный 10 3 2 3 5 2" xfId="1015" xr:uid="{00000000-0005-0000-0000-0000F5030000}"/>
    <cellStyle name="Обычный 10 3 2 3 5 2 2" xfId="1016" xr:uid="{00000000-0005-0000-0000-0000F6030000}"/>
    <cellStyle name="Обычный 10 3 2 3 5 2 2 2" xfId="1017" xr:uid="{00000000-0005-0000-0000-0000F7030000}"/>
    <cellStyle name="Обычный 10 3 2 3 5 2 3" xfId="1018" xr:uid="{00000000-0005-0000-0000-0000F8030000}"/>
    <cellStyle name="Обычный 10 3 2 3 5 3" xfId="1019" xr:uid="{00000000-0005-0000-0000-0000F9030000}"/>
    <cellStyle name="Обычный 10 3 2 3 5 3 2" xfId="1020" xr:uid="{00000000-0005-0000-0000-0000FA030000}"/>
    <cellStyle name="Обычный 10 3 2 3 5 4" xfId="1021" xr:uid="{00000000-0005-0000-0000-0000FB030000}"/>
    <cellStyle name="Обычный 10 3 2 3 6" xfId="1022" xr:uid="{00000000-0005-0000-0000-0000FC030000}"/>
    <cellStyle name="Обычный 10 3 2 3 6 2" xfId="1023" xr:uid="{00000000-0005-0000-0000-0000FD030000}"/>
    <cellStyle name="Обычный 10 3 2 3 6 2 2" xfId="1024" xr:uid="{00000000-0005-0000-0000-0000FE030000}"/>
    <cellStyle name="Обычный 10 3 2 3 6 3" xfId="1025" xr:uid="{00000000-0005-0000-0000-0000FF030000}"/>
    <cellStyle name="Обычный 10 3 2 3 7" xfId="1026" xr:uid="{00000000-0005-0000-0000-000000040000}"/>
    <cellStyle name="Обычный 10 3 2 3 7 2" xfId="1027" xr:uid="{00000000-0005-0000-0000-000001040000}"/>
    <cellStyle name="Обычный 10 3 2 3 8" xfId="1028" xr:uid="{00000000-0005-0000-0000-000002040000}"/>
    <cellStyle name="Обычный 10 3 2 4" xfId="1029" xr:uid="{00000000-0005-0000-0000-000003040000}"/>
    <cellStyle name="Обычный 10 3 2 4 2" xfId="1030" xr:uid="{00000000-0005-0000-0000-000004040000}"/>
    <cellStyle name="Обычный 10 3 2 4 2 2" xfId="1031" xr:uid="{00000000-0005-0000-0000-000005040000}"/>
    <cellStyle name="Обычный 10 3 2 4 2 2 2" xfId="1032" xr:uid="{00000000-0005-0000-0000-000006040000}"/>
    <cellStyle name="Обычный 10 3 2 4 2 2 2 2" xfId="1033" xr:uid="{00000000-0005-0000-0000-000007040000}"/>
    <cellStyle name="Обычный 10 3 2 4 2 2 3" xfId="1034" xr:uid="{00000000-0005-0000-0000-000008040000}"/>
    <cellStyle name="Обычный 10 3 2 4 2 3" xfId="1035" xr:uid="{00000000-0005-0000-0000-000009040000}"/>
    <cellStyle name="Обычный 10 3 2 4 2 3 2" xfId="1036" xr:uid="{00000000-0005-0000-0000-00000A040000}"/>
    <cellStyle name="Обычный 10 3 2 4 2 4" xfId="1037" xr:uid="{00000000-0005-0000-0000-00000B040000}"/>
    <cellStyle name="Обычный 10 3 2 4 3" xfId="1038" xr:uid="{00000000-0005-0000-0000-00000C040000}"/>
    <cellStyle name="Обычный 10 3 2 4 3 2" xfId="1039" xr:uid="{00000000-0005-0000-0000-00000D040000}"/>
    <cellStyle name="Обычный 10 3 2 4 3 2 2" xfId="1040" xr:uid="{00000000-0005-0000-0000-00000E040000}"/>
    <cellStyle name="Обычный 10 3 2 4 3 3" xfId="1041" xr:uid="{00000000-0005-0000-0000-00000F040000}"/>
    <cellStyle name="Обычный 10 3 2 4 4" xfId="1042" xr:uid="{00000000-0005-0000-0000-000010040000}"/>
    <cellStyle name="Обычный 10 3 2 4 4 2" xfId="1043" xr:uid="{00000000-0005-0000-0000-000011040000}"/>
    <cellStyle name="Обычный 10 3 2 4 5" xfId="1044" xr:uid="{00000000-0005-0000-0000-000012040000}"/>
    <cellStyle name="Обычный 10 3 2 5" xfId="1045" xr:uid="{00000000-0005-0000-0000-000013040000}"/>
    <cellStyle name="Обычный 10 3 2 5 2" xfId="1046" xr:uid="{00000000-0005-0000-0000-000014040000}"/>
    <cellStyle name="Обычный 10 3 2 5 2 2" xfId="1047" xr:uid="{00000000-0005-0000-0000-000015040000}"/>
    <cellStyle name="Обычный 10 3 2 5 2 2 2" xfId="1048" xr:uid="{00000000-0005-0000-0000-000016040000}"/>
    <cellStyle name="Обычный 10 3 2 5 2 2 2 2" xfId="1049" xr:uid="{00000000-0005-0000-0000-000017040000}"/>
    <cellStyle name="Обычный 10 3 2 5 2 2 3" xfId="1050" xr:uid="{00000000-0005-0000-0000-000018040000}"/>
    <cellStyle name="Обычный 10 3 2 5 2 3" xfId="1051" xr:uid="{00000000-0005-0000-0000-000019040000}"/>
    <cellStyle name="Обычный 10 3 2 5 2 3 2" xfId="1052" xr:uid="{00000000-0005-0000-0000-00001A040000}"/>
    <cellStyle name="Обычный 10 3 2 5 2 4" xfId="1053" xr:uid="{00000000-0005-0000-0000-00001B040000}"/>
    <cellStyle name="Обычный 10 3 2 5 3" xfId="1054" xr:uid="{00000000-0005-0000-0000-00001C040000}"/>
    <cellStyle name="Обычный 10 3 2 5 3 2" xfId="1055" xr:uid="{00000000-0005-0000-0000-00001D040000}"/>
    <cellStyle name="Обычный 10 3 2 5 3 2 2" xfId="1056" xr:uid="{00000000-0005-0000-0000-00001E040000}"/>
    <cellStyle name="Обычный 10 3 2 5 3 3" xfId="1057" xr:uid="{00000000-0005-0000-0000-00001F040000}"/>
    <cellStyle name="Обычный 10 3 2 5 4" xfId="1058" xr:uid="{00000000-0005-0000-0000-000020040000}"/>
    <cellStyle name="Обычный 10 3 2 5 4 2" xfId="1059" xr:uid="{00000000-0005-0000-0000-000021040000}"/>
    <cellStyle name="Обычный 10 3 2 5 5" xfId="1060" xr:uid="{00000000-0005-0000-0000-000022040000}"/>
    <cellStyle name="Обычный 10 3 2 6" xfId="1061" xr:uid="{00000000-0005-0000-0000-000023040000}"/>
    <cellStyle name="Обычный 10 3 2 6 2" xfId="1062" xr:uid="{00000000-0005-0000-0000-000024040000}"/>
    <cellStyle name="Обычный 10 3 2 6 2 2" xfId="1063" xr:uid="{00000000-0005-0000-0000-000025040000}"/>
    <cellStyle name="Обычный 10 3 2 6 2 2 2" xfId="1064" xr:uid="{00000000-0005-0000-0000-000026040000}"/>
    <cellStyle name="Обычный 10 3 2 6 2 2 2 2" xfId="1065" xr:uid="{00000000-0005-0000-0000-000027040000}"/>
    <cellStyle name="Обычный 10 3 2 6 2 2 3" xfId="1066" xr:uid="{00000000-0005-0000-0000-000028040000}"/>
    <cellStyle name="Обычный 10 3 2 6 2 3" xfId="1067" xr:uid="{00000000-0005-0000-0000-000029040000}"/>
    <cellStyle name="Обычный 10 3 2 6 2 3 2" xfId="1068" xr:uid="{00000000-0005-0000-0000-00002A040000}"/>
    <cellStyle name="Обычный 10 3 2 6 2 4" xfId="1069" xr:uid="{00000000-0005-0000-0000-00002B040000}"/>
    <cellStyle name="Обычный 10 3 2 6 3" xfId="1070" xr:uid="{00000000-0005-0000-0000-00002C040000}"/>
    <cellStyle name="Обычный 10 3 2 6 3 2" xfId="1071" xr:uid="{00000000-0005-0000-0000-00002D040000}"/>
    <cellStyle name="Обычный 10 3 2 6 3 2 2" xfId="1072" xr:uid="{00000000-0005-0000-0000-00002E040000}"/>
    <cellStyle name="Обычный 10 3 2 6 3 3" xfId="1073" xr:uid="{00000000-0005-0000-0000-00002F040000}"/>
    <cellStyle name="Обычный 10 3 2 6 4" xfId="1074" xr:uid="{00000000-0005-0000-0000-000030040000}"/>
    <cellStyle name="Обычный 10 3 2 6 4 2" xfId="1075" xr:uid="{00000000-0005-0000-0000-000031040000}"/>
    <cellStyle name="Обычный 10 3 2 6 5" xfId="1076" xr:uid="{00000000-0005-0000-0000-000032040000}"/>
    <cellStyle name="Обычный 10 3 2 7" xfId="1077" xr:uid="{00000000-0005-0000-0000-000033040000}"/>
    <cellStyle name="Обычный 10 3 2 7 2" xfId="1078" xr:uid="{00000000-0005-0000-0000-000034040000}"/>
    <cellStyle name="Обычный 10 3 2 7 2 2" xfId="1079" xr:uid="{00000000-0005-0000-0000-000035040000}"/>
    <cellStyle name="Обычный 10 3 2 7 2 2 2" xfId="1080" xr:uid="{00000000-0005-0000-0000-000036040000}"/>
    <cellStyle name="Обычный 10 3 2 7 2 3" xfId="1081" xr:uid="{00000000-0005-0000-0000-000037040000}"/>
    <cellStyle name="Обычный 10 3 2 7 3" xfId="1082" xr:uid="{00000000-0005-0000-0000-000038040000}"/>
    <cellStyle name="Обычный 10 3 2 7 3 2" xfId="1083" xr:uid="{00000000-0005-0000-0000-000039040000}"/>
    <cellStyle name="Обычный 10 3 2 7 4" xfId="1084" xr:uid="{00000000-0005-0000-0000-00003A040000}"/>
    <cellStyle name="Обычный 10 3 2 8" xfId="1085" xr:uid="{00000000-0005-0000-0000-00003B040000}"/>
    <cellStyle name="Обычный 10 3 2 8 2" xfId="1086" xr:uid="{00000000-0005-0000-0000-00003C040000}"/>
    <cellStyle name="Обычный 10 3 2 8 2 2" xfId="1087" xr:uid="{00000000-0005-0000-0000-00003D040000}"/>
    <cellStyle name="Обычный 10 3 2 8 3" xfId="1088" xr:uid="{00000000-0005-0000-0000-00003E040000}"/>
    <cellStyle name="Обычный 10 3 2 9" xfId="1089" xr:uid="{00000000-0005-0000-0000-00003F040000}"/>
    <cellStyle name="Обычный 10 3 2 9 2" xfId="1090" xr:uid="{00000000-0005-0000-0000-000040040000}"/>
    <cellStyle name="Обычный 10 3 3" xfId="1091" xr:uid="{00000000-0005-0000-0000-000041040000}"/>
    <cellStyle name="Обычный 10 3 3 10" xfId="1092" xr:uid="{00000000-0005-0000-0000-000042040000}"/>
    <cellStyle name="Обычный 10 3 3 2" xfId="1093" xr:uid="{00000000-0005-0000-0000-000043040000}"/>
    <cellStyle name="Обычный 10 3 3 2 2" xfId="1094" xr:uid="{00000000-0005-0000-0000-000044040000}"/>
    <cellStyle name="Обычный 10 3 3 2 2 2" xfId="1095" xr:uid="{00000000-0005-0000-0000-000045040000}"/>
    <cellStyle name="Обычный 10 3 3 2 2 2 2" xfId="1096" xr:uid="{00000000-0005-0000-0000-000046040000}"/>
    <cellStyle name="Обычный 10 3 3 2 2 2 2 2" xfId="1097" xr:uid="{00000000-0005-0000-0000-000047040000}"/>
    <cellStyle name="Обычный 10 3 3 2 2 2 2 2 2" xfId="1098" xr:uid="{00000000-0005-0000-0000-000048040000}"/>
    <cellStyle name="Обычный 10 3 3 2 2 2 2 3" xfId="1099" xr:uid="{00000000-0005-0000-0000-000049040000}"/>
    <cellStyle name="Обычный 10 3 3 2 2 2 3" xfId="1100" xr:uid="{00000000-0005-0000-0000-00004A040000}"/>
    <cellStyle name="Обычный 10 3 3 2 2 2 3 2" xfId="1101" xr:uid="{00000000-0005-0000-0000-00004B040000}"/>
    <cellStyle name="Обычный 10 3 3 2 2 2 4" xfId="1102" xr:uid="{00000000-0005-0000-0000-00004C040000}"/>
    <cellStyle name="Обычный 10 3 3 2 2 3" xfId="1103" xr:uid="{00000000-0005-0000-0000-00004D040000}"/>
    <cellStyle name="Обычный 10 3 3 2 2 3 2" xfId="1104" xr:uid="{00000000-0005-0000-0000-00004E040000}"/>
    <cellStyle name="Обычный 10 3 3 2 2 3 2 2" xfId="1105" xr:uid="{00000000-0005-0000-0000-00004F040000}"/>
    <cellStyle name="Обычный 10 3 3 2 2 3 3" xfId="1106" xr:uid="{00000000-0005-0000-0000-000050040000}"/>
    <cellStyle name="Обычный 10 3 3 2 2 4" xfId="1107" xr:uid="{00000000-0005-0000-0000-000051040000}"/>
    <cellStyle name="Обычный 10 3 3 2 2 4 2" xfId="1108" xr:uid="{00000000-0005-0000-0000-000052040000}"/>
    <cellStyle name="Обычный 10 3 3 2 2 5" xfId="1109" xr:uid="{00000000-0005-0000-0000-000053040000}"/>
    <cellStyle name="Обычный 10 3 3 2 3" xfId="1110" xr:uid="{00000000-0005-0000-0000-000054040000}"/>
    <cellStyle name="Обычный 10 3 3 2 3 2" xfId="1111" xr:uid="{00000000-0005-0000-0000-000055040000}"/>
    <cellStyle name="Обычный 10 3 3 2 3 2 2" xfId="1112" xr:uid="{00000000-0005-0000-0000-000056040000}"/>
    <cellStyle name="Обычный 10 3 3 2 3 2 2 2" xfId="1113" xr:uid="{00000000-0005-0000-0000-000057040000}"/>
    <cellStyle name="Обычный 10 3 3 2 3 2 2 2 2" xfId="1114" xr:uid="{00000000-0005-0000-0000-000058040000}"/>
    <cellStyle name="Обычный 10 3 3 2 3 2 2 3" xfId="1115" xr:uid="{00000000-0005-0000-0000-000059040000}"/>
    <cellStyle name="Обычный 10 3 3 2 3 2 3" xfId="1116" xr:uid="{00000000-0005-0000-0000-00005A040000}"/>
    <cellStyle name="Обычный 10 3 3 2 3 2 3 2" xfId="1117" xr:uid="{00000000-0005-0000-0000-00005B040000}"/>
    <cellStyle name="Обычный 10 3 3 2 3 2 4" xfId="1118" xr:uid="{00000000-0005-0000-0000-00005C040000}"/>
    <cellStyle name="Обычный 10 3 3 2 3 3" xfId="1119" xr:uid="{00000000-0005-0000-0000-00005D040000}"/>
    <cellStyle name="Обычный 10 3 3 2 3 3 2" xfId="1120" xr:uid="{00000000-0005-0000-0000-00005E040000}"/>
    <cellStyle name="Обычный 10 3 3 2 3 3 2 2" xfId="1121" xr:uid="{00000000-0005-0000-0000-00005F040000}"/>
    <cellStyle name="Обычный 10 3 3 2 3 3 3" xfId="1122" xr:uid="{00000000-0005-0000-0000-000060040000}"/>
    <cellStyle name="Обычный 10 3 3 2 3 4" xfId="1123" xr:uid="{00000000-0005-0000-0000-000061040000}"/>
    <cellStyle name="Обычный 10 3 3 2 3 4 2" xfId="1124" xr:uid="{00000000-0005-0000-0000-000062040000}"/>
    <cellStyle name="Обычный 10 3 3 2 3 5" xfId="1125" xr:uid="{00000000-0005-0000-0000-000063040000}"/>
    <cellStyle name="Обычный 10 3 3 2 4" xfId="1126" xr:uid="{00000000-0005-0000-0000-000064040000}"/>
    <cellStyle name="Обычный 10 3 3 2 4 2" xfId="1127" xr:uid="{00000000-0005-0000-0000-000065040000}"/>
    <cellStyle name="Обычный 10 3 3 2 4 2 2" xfId="1128" xr:uid="{00000000-0005-0000-0000-000066040000}"/>
    <cellStyle name="Обычный 10 3 3 2 4 2 2 2" xfId="1129" xr:uid="{00000000-0005-0000-0000-000067040000}"/>
    <cellStyle name="Обычный 10 3 3 2 4 2 2 2 2" xfId="1130" xr:uid="{00000000-0005-0000-0000-000068040000}"/>
    <cellStyle name="Обычный 10 3 3 2 4 2 2 3" xfId="1131" xr:uid="{00000000-0005-0000-0000-000069040000}"/>
    <cellStyle name="Обычный 10 3 3 2 4 2 3" xfId="1132" xr:uid="{00000000-0005-0000-0000-00006A040000}"/>
    <cellStyle name="Обычный 10 3 3 2 4 2 3 2" xfId="1133" xr:uid="{00000000-0005-0000-0000-00006B040000}"/>
    <cellStyle name="Обычный 10 3 3 2 4 2 4" xfId="1134" xr:uid="{00000000-0005-0000-0000-00006C040000}"/>
    <cellStyle name="Обычный 10 3 3 2 4 3" xfId="1135" xr:uid="{00000000-0005-0000-0000-00006D040000}"/>
    <cellStyle name="Обычный 10 3 3 2 4 3 2" xfId="1136" xr:uid="{00000000-0005-0000-0000-00006E040000}"/>
    <cellStyle name="Обычный 10 3 3 2 4 3 2 2" xfId="1137" xr:uid="{00000000-0005-0000-0000-00006F040000}"/>
    <cellStyle name="Обычный 10 3 3 2 4 3 3" xfId="1138" xr:uid="{00000000-0005-0000-0000-000070040000}"/>
    <cellStyle name="Обычный 10 3 3 2 4 4" xfId="1139" xr:uid="{00000000-0005-0000-0000-000071040000}"/>
    <cellStyle name="Обычный 10 3 3 2 4 4 2" xfId="1140" xr:uid="{00000000-0005-0000-0000-000072040000}"/>
    <cellStyle name="Обычный 10 3 3 2 4 5" xfId="1141" xr:uid="{00000000-0005-0000-0000-000073040000}"/>
    <cellStyle name="Обычный 10 3 3 2 5" xfId="1142" xr:uid="{00000000-0005-0000-0000-000074040000}"/>
    <cellStyle name="Обычный 10 3 3 2 5 2" xfId="1143" xr:uid="{00000000-0005-0000-0000-000075040000}"/>
    <cellStyle name="Обычный 10 3 3 2 5 2 2" xfId="1144" xr:uid="{00000000-0005-0000-0000-000076040000}"/>
    <cellStyle name="Обычный 10 3 3 2 5 2 2 2" xfId="1145" xr:uid="{00000000-0005-0000-0000-000077040000}"/>
    <cellStyle name="Обычный 10 3 3 2 5 2 3" xfId="1146" xr:uid="{00000000-0005-0000-0000-000078040000}"/>
    <cellStyle name="Обычный 10 3 3 2 5 3" xfId="1147" xr:uid="{00000000-0005-0000-0000-000079040000}"/>
    <cellStyle name="Обычный 10 3 3 2 5 3 2" xfId="1148" xr:uid="{00000000-0005-0000-0000-00007A040000}"/>
    <cellStyle name="Обычный 10 3 3 2 5 4" xfId="1149" xr:uid="{00000000-0005-0000-0000-00007B040000}"/>
    <cellStyle name="Обычный 10 3 3 2 6" xfId="1150" xr:uid="{00000000-0005-0000-0000-00007C040000}"/>
    <cellStyle name="Обычный 10 3 3 2 6 2" xfId="1151" xr:uid="{00000000-0005-0000-0000-00007D040000}"/>
    <cellStyle name="Обычный 10 3 3 2 6 2 2" xfId="1152" xr:uid="{00000000-0005-0000-0000-00007E040000}"/>
    <cellStyle name="Обычный 10 3 3 2 6 3" xfId="1153" xr:uid="{00000000-0005-0000-0000-00007F040000}"/>
    <cellStyle name="Обычный 10 3 3 2 7" xfId="1154" xr:uid="{00000000-0005-0000-0000-000080040000}"/>
    <cellStyle name="Обычный 10 3 3 2 7 2" xfId="1155" xr:uid="{00000000-0005-0000-0000-000081040000}"/>
    <cellStyle name="Обычный 10 3 3 2 8" xfId="1156" xr:uid="{00000000-0005-0000-0000-000082040000}"/>
    <cellStyle name="Обычный 10 3 3 3" xfId="1157" xr:uid="{00000000-0005-0000-0000-000083040000}"/>
    <cellStyle name="Обычный 10 3 3 3 2" xfId="1158" xr:uid="{00000000-0005-0000-0000-000084040000}"/>
    <cellStyle name="Обычный 10 3 3 3 2 2" xfId="1159" xr:uid="{00000000-0005-0000-0000-000085040000}"/>
    <cellStyle name="Обычный 10 3 3 3 2 2 2" xfId="1160" xr:uid="{00000000-0005-0000-0000-000086040000}"/>
    <cellStyle name="Обычный 10 3 3 3 2 2 2 2" xfId="1161" xr:uid="{00000000-0005-0000-0000-000087040000}"/>
    <cellStyle name="Обычный 10 3 3 3 2 2 2 2 2" xfId="1162" xr:uid="{00000000-0005-0000-0000-000088040000}"/>
    <cellStyle name="Обычный 10 3 3 3 2 2 2 3" xfId="1163" xr:uid="{00000000-0005-0000-0000-000089040000}"/>
    <cellStyle name="Обычный 10 3 3 3 2 2 3" xfId="1164" xr:uid="{00000000-0005-0000-0000-00008A040000}"/>
    <cellStyle name="Обычный 10 3 3 3 2 2 3 2" xfId="1165" xr:uid="{00000000-0005-0000-0000-00008B040000}"/>
    <cellStyle name="Обычный 10 3 3 3 2 2 4" xfId="1166" xr:uid="{00000000-0005-0000-0000-00008C040000}"/>
    <cellStyle name="Обычный 10 3 3 3 2 3" xfId="1167" xr:uid="{00000000-0005-0000-0000-00008D040000}"/>
    <cellStyle name="Обычный 10 3 3 3 2 3 2" xfId="1168" xr:uid="{00000000-0005-0000-0000-00008E040000}"/>
    <cellStyle name="Обычный 10 3 3 3 2 3 2 2" xfId="1169" xr:uid="{00000000-0005-0000-0000-00008F040000}"/>
    <cellStyle name="Обычный 10 3 3 3 2 3 3" xfId="1170" xr:uid="{00000000-0005-0000-0000-000090040000}"/>
    <cellStyle name="Обычный 10 3 3 3 2 4" xfId="1171" xr:uid="{00000000-0005-0000-0000-000091040000}"/>
    <cellStyle name="Обычный 10 3 3 3 2 4 2" xfId="1172" xr:uid="{00000000-0005-0000-0000-000092040000}"/>
    <cellStyle name="Обычный 10 3 3 3 2 5" xfId="1173" xr:uid="{00000000-0005-0000-0000-000093040000}"/>
    <cellStyle name="Обычный 10 3 3 3 3" xfId="1174" xr:uid="{00000000-0005-0000-0000-000094040000}"/>
    <cellStyle name="Обычный 10 3 3 3 3 2" xfId="1175" xr:uid="{00000000-0005-0000-0000-000095040000}"/>
    <cellStyle name="Обычный 10 3 3 3 3 2 2" xfId="1176" xr:uid="{00000000-0005-0000-0000-000096040000}"/>
    <cellStyle name="Обычный 10 3 3 3 3 2 2 2" xfId="1177" xr:uid="{00000000-0005-0000-0000-000097040000}"/>
    <cellStyle name="Обычный 10 3 3 3 3 2 2 2 2" xfId="1178" xr:uid="{00000000-0005-0000-0000-000098040000}"/>
    <cellStyle name="Обычный 10 3 3 3 3 2 2 3" xfId="1179" xr:uid="{00000000-0005-0000-0000-000099040000}"/>
    <cellStyle name="Обычный 10 3 3 3 3 2 3" xfId="1180" xr:uid="{00000000-0005-0000-0000-00009A040000}"/>
    <cellStyle name="Обычный 10 3 3 3 3 2 3 2" xfId="1181" xr:uid="{00000000-0005-0000-0000-00009B040000}"/>
    <cellStyle name="Обычный 10 3 3 3 3 2 4" xfId="1182" xr:uid="{00000000-0005-0000-0000-00009C040000}"/>
    <cellStyle name="Обычный 10 3 3 3 3 3" xfId="1183" xr:uid="{00000000-0005-0000-0000-00009D040000}"/>
    <cellStyle name="Обычный 10 3 3 3 3 3 2" xfId="1184" xr:uid="{00000000-0005-0000-0000-00009E040000}"/>
    <cellStyle name="Обычный 10 3 3 3 3 3 2 2" xfId="1185" xr:uid="{00000000-0005-0000-0000-00009F040000}"/>
    <cellStyle name="Обычный 10 3 3 3 3 3 3" xfId="1186" xr:uid="{00000000-0005-0000-0000-0000A0040000}"/>
    <cellStyle name="Обычный 10 3 3 3 3 4" xfId="1187" xr:uid="{00000000-0005-0000-0000-0000A1040000}"/>
    <cellStyle name="Обычный 10 3 3 3 3 4 2" xfId="1188" xr:uid="{00000000-0005-0000-0000-0000A2040000}"/>
    <cellStyle name="Обычный 10 3 3 3 3 5" xfId="1189" xr:uid="{00000000-0005-0000-0000-0000A3040000}"/>
    <cellStyle name="Обычный 10 3 3 3 4" xfId="1190" xr:uid="{00000000-0005-0000-0000-0000A4040000}"/>
    <cellStyle name="Обычный 10 3 3 3 4 2" xfId="1191" xr:uid="{00000000-0005-0000-0000-0000A5040000}"/>
    <cellStyle name="Обычный 10 3 3 3 4 2 2" xfId="1192" xr:uid="{00000000-0005-0000-0000-0000A6040000}"/>
    <cellStyle name="Обычный 10 3 3 3 4 2 2 2" xfId="1193" xr:uid="{00000000-0005-0000-0000-0000A7040000}"/>
    <cellStyle name="Обычный 10 3 3 3 4 2 2 2 2" xfId="1194" xr:uid="{00000000-0005-0000-0000-0000A8040000}"/>
    <cellStyle name="Обычный 10 3 3 3 4 2 2 3" xfId="1195" xr:uid="{00000000-0005-0000-0000-0000A9040000}"/>
    <cellStyle name="Обычный 10 3 3 3 4 2 3" xfId="1196" xr:uid="{00000000-0005-0000-0000-0000AA040000}"/>
    <cellStyle name="Обычный 10 3 3 3 4 2 3 2" xfId="1197" xr:uid="{00000000-0005-0000-0000-0000AB040000}"/>
    <cellStyle name="Обычный 10 3 3 3 4 2 4" xfId="1198" xr:uid="{00000000-0005-0000-0000-0000AC040000}"/>
    <cellStyle name="Обычный 10 3 3 3 4 3" xfId="1199" xr:uid="{00000000-0005-0000-0000-0000AD040000}"/>
    <cellStyle name="Обычный 10 3 3 3 4 3 2" xfId="1200" xr:uid="{00000000-0005-0000-0000-0000AE040000}"/>
    <cellStyle name="Обычный 10 3 3 3 4 3 2 2" xfId="1201" xr:uid="{00000000-0005-0000-0000-0000AF040000}"/>
    <cellStyle name="Обычный 10 3 3 3 4 3 3" xfId="1202" xr:uid="{00000000-0005-0000-0000-0000B0040000}"/>
    <cellStyle name="Обычный 10 3 3 3 4 4" xfId="1203" xr:uid="{00000000-0005-0000-0000-0000B1040000}"/>
    <cellStyle name="Обычный 10 3 3 3 4 4 2" xfId="1204" xr:uid="{00000000-0005-0000-0000-0000B2040000}"/>
    <cellStyle name="Обычный 10 3 3 3 4 5" xfId="1205" xr:uid="{00000000-0005-0000-0000-0000B3040000}"/>
    <cellStyle name="Обычный 10 3 3 3 5" xfId="1206" xr:uid="{00000000-0005-0000-0000-0000B4040000}"/>
    <cellStyle name="Обычный 10 3 3 3 5 2" xfId="1207" xr:uid="{00000000-0005-0000-0000-0000B5040000}"/>
    <cellStyle name="Обычный 10 3 3 3 5 2 2" xfId="1208" xr:uid="{00000000-0005-0000-0000-0000B6040000}"/>
    <cellStyle name="Обычный 10 3 3 3 5 2 2 2" xfId="1209" xr:uid="{00000000-0005-0000-0000-0000B7040000}"/>
    <cellStyle name="Обычный 10 3 3 3 5 2 3" xfId="1210" xr:uid="{00000000-0005-0000-0000-0000B8040000}"/>
    <cellStyle name="Обычный 10 3 3 3 5 3" xfId="1211" xr:uid="{00000000-0005-0000-0000-0000B9040000}"/>
    <cellStyle name="Обычный 10 3 3 3 5 3 2" xfId="1212" xr:uid="{00000000-0005-0000-0000-0000BA040000}"/>
    <cellStyle name="Обычный 10 3 3 3 5 4" xfId="1213" xr:uid="{00000000-0005-0000-0000-0000BB040000}"/>
    <cellStyle name="Обычный 10 3 3 3 6" xfId="1214" xr:uid="{00000000-0005-0000-0000-0000BC040000}"/>
    <cellStyle name="Обычный 10 3 3 3 6 2" xfId="1215" xr:uid="{00000000-0005-0000-0000-0000BD040000}"/>
    <cellStyle name="Обычный 10 3 3 3 6 2 2" xfId="1216" xr:uid="{00000000-0005-0000-0000-0000BE040000}"/>
    <cellStyle name="Обычный 10 3 3 3 6 3" xfId="1217" xr:uid="{00000000-0005-0000-0000-0000BF040000}"/>
    <cellStyle name="Обычный 10 3 3 3 7" xfId="1218" xr:uid="{00000000-0005-0000-0000-0000C0040000}"/>
    <cellStyle name="Обычный 10 3 3 3 7 2" xfId="1219" xr:uid="{00000000-0005-0000-0000-0000C1040000}"/>
    <cellStyle name="Обычный 10 3 3 3 8" xfId="1220" xr:uid="{00000000-0005-0000-0000-0000C2040000}"/>
    <cellStyle name="Обычный 10 3 3 4" xfId="1221" xr:uid="{00000000-0005-0000-0000-0000C3040000}"/>
    <cellStyle name="Обычный 10 3 3 4 2" xfId="1222" xr:uid="{00000000-0005-0000-0000-0000C4040000}"/>
    <cellStyle name="Обычный 10 3 3 4 2 2" xfId="1223" xr:uid="{00000000-0005-0000-0000-0000C5040000}"/>
    <cellStyle name="Обычный 10 3 3 4 2 2 2" xfId="1224" xr:uid="{00000000-0005-0000-0000-0000C6040000}"/>
    <cellStyle name="Обычный 10 3 3 4 2 2 2 2" xfId="1225" xr:uid="{00000000-0005-0000-0000-0000C7040000}"/>
    <cellStyle name="Обычный 10 3 3 4 2 2 3" xfId="1226" xr:uid="{00000000-0005-0000-0000-0000C8040000}"/>
    <cellStyle name="Обычный 10 3 3 4 2 3" xfId="1227" xr:uid="{00000000-0005-0000-0000-0000C9040000}"/>
    <cellStyle name="Обычный 10 3 3 4 2 3 2" xfId="1228" xr:uid="{00000000-0005-0000-0000-0000CA040000}"/>
    <cellStyle name="Обычный 10 3 3 4 2 4" xfId="1229" xr:uid="{00000000-0005-0000-0000-0000CB040000}"/>
    <cellStyle name="Обычный 10 3 3 4 3" xfId="1230" xr:uid="{00000000-0005-0000-0000-0000CC040000}"/>
    <cellStyle name="Обычный 10 3 3 4 3 2" xfId="1231" xr:uid="{00000000-0005-0000-0000-0000CD040000}"/>
    <cellStyle name="Обычный 10 3 3 4 3 2 2" xfId="1232" xr:uid="{00000000-0005-0000-0000-0000CE040000}"/>
    <cellStyle name="Обычный 10 3 3 4 3 3" xfId="1233" xr:uid="{00000000-0005-0000-0000-0000CF040000}"/>
    <cellStyle name="Обычный 10 3 3 4 4" xfId="1234" xr:uid="{00000000-0005-0000-0000-0000D0040000}"/>
    <cellStyle name="Обычный 10 3 3 4 4 2" xfId="1235" xr:uid="{00000000-0005-0000-0000-0000D1040000}"/>
    <cellStyle name="Обычный 10 3 3 4 5" xfId="1236" xr:uid="{00000000-0005-0000-0000-0000D2040000}"/>
    <cellStyle name="Обычный 10 3 3 5" xfId="1237" xr:uid="{00000000-0005-0000-0000-0000D3040000}"/>
    <cellStyle name="Обычный 10 3 3 5 2" xfId="1238" xr:uid="{00000000-0005-0000-0000-0000D4040000}"/>
    <cellStyle name="Обычный 10 3 3 5 2 2" xfId="1239" xr:uid="{00000000-0005-0000-0000-0000D5040000}"/>
    <cellStyle name="Обычный 10 3 3 5 2 2 2" xfId="1240" xr:uid="{00000000-0005-0000-0000-0000D6040000}"/>
    <cellStyle name="Обычный 10 3 3 5 2 2 2 2" xfId="1241" xr:uid="{00000000-0005-0000-0000-0000D7040000}"/>
    <cellStyle name="Обычный 10 3 3 5 2 2 3" xfId="1242" xr:uid="{00000000-0005-0000-0000-0000D8040000}"/>
    <cellStyle name="Обычный 10 3 3 5 2 3" xfId="1243" xr:uid="{00000000-0005-0000-0000-0000D9040000}"/>
    <cellStyle name="Обычный 10 3 3 5 2 3 2" xfId="1244" xr:uid="{00000000-0005-0000-0000-0000DA040000}"/>
    <cellStyle name="Обычный 10 3 3 5 2 4" xfId="1245" xr:uid="{00000000-0005-0000-0000-0000DB040000}"/>
    <cellStyle name="Обычный 10 3 3 5 3" xfId="1246" xr:uid="{00000000-0005-0000-0000-0000DC040000}"/>
    <cellStyle name="Обычный 10 3 3 5 3 2" xfId="1247" xr:uid="{00000000-0005-0000-0000-0000DD040000}"/>
    <cellStyle name="Обычный 10 3 3 5 3 2 2" xfId="1248" xr:uid="{00000000-0005-0000-0000-0000DE040000}"/>
    <cellStyle name="Обычный 10 3 3 5 3 3" xfId="1249" xr:uid="{00000000-0005-0000-0000-0000DF040000}"/>
    <cellStyle name="Обычный 10 3 3 5 4" xfId="1250" xr:uid="{00000000-0005-0000-0000-0000E0040000}"/>
    <cellStyle name="Обычный 10 3 3 5 4 2" xfId="1251" xr:uid="{00000000-0005-0000-0000-0000E1040000}"/>
    <cellStyle name="Обычный 10 3 3 5 5" xfId="1252" xr:uid="{00000000-0005-0000-0000-0000E2040000}"/>
    <cellStyle name="Обычный 10 3 3 6" xfId="1253" xr:uid="{00000000-0005-0000-0000-0000E3040000}"/>
    <cellStyle name="Обычный 10 3 3 6 2" xfId="1254" xr:uid="{00000000-0005-0000-0000-0000E4040000}"/>
    <cellStyle name="Обычный 10 3 3 6 2 2" xfId="1255" xr:uid="{00000000-0005-0000-0000-0000E5040000}"/>
    <cellStyle name="Обычный 10 3 3 6 2 2 2" xfId="1256" xr:uid="{00000000-0005-0000-0000-0000E6040000}"/>
    <cellStyle name="Обычный 10 3 3 6 2 2 2 2" xfId="1257" xr:uid="{00000000-0005-0000-0000-0000E7040000}"/>
    <cellStyle name="Обычный 10 3 3 6 2 2 3" xfId="1258" xr:uid="{00000000-0005-0000-0000-0000E8040000}"/>
    <cellStyle name="Обычный 10 3 3 6 2 3" xfId="1259" xr:uid="{00000000-0005-0000-0000-0000E9040000}"/>
    <cellStyle name="Обычный 10 3 3 6 2 3 2" xfId="1260" xr:uid="{00000000-0005-0000-0000-0000EA040000}"/>
    <cellStyle name="Обычный 10 3 3 6 2 4" xfId="1261" xr:uid="{00000000-0005-0000-0000-0000EB040000}"/>
    <cellStyle name="Обычный 10 3 3 6 3" xfId="1262" xr:uid="{00000000-0005-0000-0000-0000EC040000}"/>
    <cellStyle name="Обычный 10 3 3 6 3 2" xfId="1263" xr:uid="{00000000-0005-0000-0000-0000ED040000}"/>
    <cellStyle name="Обычный 10 3 3 6 3 2 2" xfId="1264" xr:uid="{00000000-0005-0000-0000-0000EE040000}"/>
    <cellStyle name="Обычный 10 3 3 6 3 3" xfId="1265" xr:uid="{00000000-0005-0000-0000-0000EF040000}"/>
    <cellStyle name="Обычный 10 3 3 6 4" xfId="1266" xr:uid="{00000000-0005-0000-0000-0000F0040000}"/>
    <cellStyle name="Обычный 10 3 3 6 4 2" xfId="1267" xr:uid="{00000000-0005-0000-0000-0000F1040000}"/>
    <cellStyle name="Обычный 10 3 3 6 5" xfId="1268" xr:uid="{00000000-0005-0000-0000-0000F2040000}"/>
    <cellStyle name="Обычный 10 3 3 7" xfId="1269" xr:uid="{00000000-0005-0000-0000-0000F3040000}"/>
    <cellStyle name="Обычный 10 3 3 7 2" xfId="1270" xr:uid="{00000000-0005-0000-0000-0000F4040000}"/>
    <cellStyle name="Обычный 10 3 3 7 2 2" xfId="1271" xr:uid="{00000000-0005-0000-0000-0000F5040000}"/>
    <cellStyle name="Обычный 10 3 3 7 2 2 2" xfId="1272" xr:uid="{00000000-0005-0000-0000-0000F6040000}"/>
    <cellStyle name="Обычный 10 3 3 7 2 3" xfId="1273" xr:uid="{00000000-0005-0000-0000-0000F7040000}"/>
    <cellStyle name="Обычный 10 3 3 7 3" xfId="1274" xr:uid="{00000000-0005-0000-0000-0000F8040000}"/>
    <cellStyle name="Обычный 10 3 3 7 3 2" xfId="1275" xr:uid="{00000000-0005-0000-0000-0000F9040000}"/>
    <cellStyle name="Обычный 10 3 3 7 4" xfId="1276" xr:uid="{00000000-0005-0000-0000-0000FA040000}"/>
    <cellStyle name="Обычный 10 3 3 8" xfId="1277" xr:uid="{00000000-0005-0000-0000-0000FB040000}"/>
    <cellStyle name="Обычный 10 3 3 8 2" xfId="1278" xr:uid="{00000000-0005-0000-0000-0000FC040000}"/>
    <cellStyle name="Обычный 10 3 3 8 2 2" xfId="1279" xr:uid="{00000000-0005-0000-0000-0000FD040000}"/>
    <cellStyle name="Обычный 10 3 3 8 3" xfId="1280" xr:uid="{00000000-0005-0000-0000-0000FE040000}"/>
    <cellStyle name="Обычный 10 3 3 9" xfId="1281" xr:uid="{00000000-0005-0000-0000-0000FF040000}"/>
    <cellStyle name="Обычный 10 3 3 9 2" xfId="1282" xr:uid="{00000000-0005-0000-0000-000000050000}"/>
    <cellStyle name="Обычный 10 3 4" xfId="1283" xr:uid="{00000000-0005-0000-0000-000001050000}"/>
    <cellStyle name="Обычный 10 3 4 10" xfId="1284" xr:uid="{00000000-0005-0000-0000-000002050000}"/>
    <cellStyle name="Обычный 10 3 4 2" xfId="1285" xr:uid="{00000000-0005-0000-0000-000003050000}"/>
    <cellStyle name="Обычный 10 3 4 2 2" xfId="1286" xr:uid="{00000000-0005-0000-0000-000004050000}"/>
    <cellStyle name="Обычный 10 3 4 2 2 2" xfId="1287" xr:uid="{00000000-0005-0000-0000-000005050000}"/>
    <cellStyle name="Обычный 10 3 4 2 2 2 2" xfId="1288" xr:uid="{00000000-0005-0000-0000-000006050000}"/>
    <cellStyle name="Обычный 10 3 4 2 2 2 2 2" xfId="1289" xr:uid="{00000000-0005-0000-0000-000007050000}"/>
    <cellStyle name="Обычный 10 3 4 2 2 2 2 2 2" xfId="1290" xr:uid="{00000000-0005-0000-0000-000008050000}"/>
    <cellStyle name="Обычный 10 3 4 2 2 2 2 3" xfId="1291" xr:uid="{00000000-0005-0000-0000-000009050000}"/>
    <cellStyle name="Обычный 10 3 4 2 2 2 3" xfId="1292" xr:uid="{00000000-0005-0000-0000-00000A050000}"/>
    <cellStyle name="Обычный 10 3 4 2 2 2 3 2" xfId="1293" xr:uid="{00000000-0005-0000-0000-00000B050000}"/>
    <cellStyle name="Обычный 10 3 4 2 2 2 4" xfId="1294" xr:uid="{00000000-0005-0000-0000-00000C050000}"/>
    <cellStyle name="Обычный 10 3 4 2 2 3" xfId="1295" xr:uid="{00000000-0005-0000-0000-00000D050000}"/>
    <cellStyle name="Обычный 10 3 4 2 2 3 2" xfId="1296" xr:uid="{00000000-0005-0000-0000-00000E050000}"/>
    <cellStyle name="Обычный 10 3 4 2 2 3 2 2" xfId="1297" xr:uid="{00000000-0005-0000-0000-00000F050000}"/>
    <cellStyle name="Обычный 10 3 4 2 2 3 3" xfId="1298" xr:uid="{00000000-0005-0000-0000-000010050000}"/>
    <cellStyle name="Обычный 10 3 4 2 2 4" xfId="1299" xr:uid="{00000000-0005-0000-0000-000011050000}"/>
    <cellStyle name="Обычный 10 3 4 2 2 4 2" xfId="1300" xr:uid="{00000000-0005-0000-0000-000012050000}"/>
    <cellStyle name="Обычный 10 3 4 2 2 5" xfId="1301" xr:uid="{00000000-0005-0000-0000-000013050000}"/>
    <cellStyle name="Обычный 10 3 4 2 3" xfId="1302" xr:uid="{00000000-0005-0000-0000-000014050000}"/>
    <cellStyle name="Обычный 10 3 4 2 3 2" xfId="1303" xr:uid="{00000000-0005-0000-0000-000015050000}"/>
    <cellStyle name="Обычный 10 3 4 2 3 2 2" xfId="1304" xr:uid="{00000000-0005-0000-0000-000016050000}"/>
    <cellStyle name="Обычный 10 3 4 2 3 2 2 2" xfId="1305" xr:uid="{00000000-0005-0000-0000-000017050000}"/>
    <cellStyle name="Обычный 10 3 4 2 3 2 2 2 2" xfId="1306" xr:uid="{00000000-0005-0000-0000-000018050000}"/>
    <cellStyle name="Обычный 10 3 4 2 3 2 2 3" xfId="1307" xr:uid="{00000000-0005-0000-0000-000019050000}"/>
    <cellStyle name="Обычный 10 3 4 2 3 2 3" xfId="1308" xr:uid="{00000000-0005-0000-0000-00001A050000}"/>
    <cellStyle name="Обычный 10 3 4 2 3 2 3 2" xfId="1309" xr:uid="{00000000-0005-0000-0000-00001B050000}"/>
    <cellStyle name="Обычный 10 3 4 2 3 2 4" xfId="1310" xr:uid="{00000000-0005-0000-0000-00001C050000}"/>
    <cellStyle name="Обычный 10 3 4 2 3 3" xfId="1311" xr:uid="{00000000-0005-0000-0000-00001D050000}"/>
    <cellStyle name="Обычный 10 3 4 2 3 3 2" xfId="1312" xr:uid="{00000000-0005-0000-0000-00001E050000}"/>
    <cellStyle name="Обычный 10 3 4 2 3 3 2 2" xfId="1313" xr:uid="{00000000-0005-0000-0000-00001F050000}"/>
    <cellStyle name="Обычный 10 3 4 2 3 3 3" xfId="1314" xr:uid="{00000000-0005-0000-0000-000020050000}"/>
    <cellStyle name="Обычный 10 3 4 2 3 4" xfId="1315" xr:uid="{00000000-0005-0000-0000-000021050000}"/>
    <cellStyle name="Обычный 10 3 4 2 3 4 2" xfId="1316" xr:uid="{00000000-0005-0000-0000-000022050000}"/>
    <cellStyle name="Обычный 10 3 4 2 3 5" xfId="1317" xr:uid="{00000000-0005-0000-0000-000023050000}"/>
    <cellStyle name="Обычный 10 3 4 2 4" xfId="1318" xr:uid="{00000000-0005-0000-0000-000024050000}"/>
    <cellStyle name="Обычный 10 3 4 2 4 2" xfId="1319" xr:uid="{00000000-0005-0000-0000-000025050000}"/>
    <cellStyle name="Обычный 10 3 4 2 4 2 2" xfId="1320" xr:uid="{00000000-0005-0000-0000-000026050000}"/>
    <cellStyle name="Обычный 10 3 4 2 4 2 2 2" xfId="1321" xr:uid="{00000000-0005-0000-0000-000027050000}"/>
    <cellStyle name="Обычный 10 3 4 2 4 2 2 2 2" xfId="1322" xr:uid="{00000000-0005-0000-0000-000028050000}"/>
    <cellStyle name="Обычный 10 3 4 2 4 2 2 3" xfId="1323" xr:uid="{00000000-0005-0000-0000-000029050000}"/>
    <cellStyle name="Обычный 10 3 4 2 4 2 3" xfId="1324" xr:uid="{00000000-0005-0000-0000-00002A050000}"/>
    <cellStyle name="Обычный 10 3 4 2 4 2 3 2" xfId="1325" xr:uid="{00000000-0005-0000-0000-00002B050000}"/>
    <cellStyle name="Обычный 10 3 4 2 4 2 4" xfId="1326" xr:uid="{00000000-0005-0000-0000-00002C050000}"/>
    <cellStyle name="Обычный 10 3 4 2 4 3" xfId="1327" xr:uid="{00000000-0005-0000-0000-00002D050000}"/>
    <cellStyle name="Обычный 10 3 4 2 4 3 2" xfId="1328" xr:uid="{00000000-0005-0000-0000-00002E050000}"/>
    <cellStyle name="Обычный 10 3 4 2 4 3 2 2" xfId="1329" xr:uid="{00000000-0005-0000-0000-00002F050000}"/>
    <cellStyle name="Обычный 10 3 4 2 4 3 3" xfId="1330" xr:uid="{00000000-0005-0000-0000-000030050000}"/>
    <cellStyle name="Обычный 10 3 4 2 4 4" xfId="1331" xr:uid="{00000000-0005-0000-0000-000031050000}"/>
    <cellStyle name="Обычный 10 3 4 2 4 4 2" xfId="1332" xr:uid="{00000000-0005-0000-0000-000032050000}"/>
    <cellStyle name="Обычный 10 3 4 2 4 5" xfId="1333" xr:uid="{00000000-0005-0000-0000-000033050000}"/>
    <cellStyle name="Обычный 10 3 4 2 5" xfId="1334" xr:uid="{00000000-0005-0000-0000-000034050000}"/>
    <cellStyle name="Обычный 10 3 4 2 5 2" xfId="1335" xr:uid="{00000000-0005-0000-0000-000035050000}"/>
    <cellStyle name="Обычный 10 3 4 2 5 2 2" xfId="1336" xr:uid="{00000000-0005-0000-0000-000036050000}"/>
    <cellStyle name="Обычный 10 3 4 2 5 2 2 2" xfId="1337" xr:uid="{00000000-0005-0000-0000-000037050000}"/>
    <cellStyle name="Обычный 10 3 4 2 5 2 3" xfId="1338" xr:uid="{00000000-0005-0000-0000-000038050000}"/>
    <cellStyle name="Обычный 10 3 4 2 5 3" xfId="1339" xr:uid="{00000000-0005-0000-0000-000039050000}"/>
    <cellStyle name="Обычный 10 3 4 2 5 3 2" xfId="1340" xr:uid="{00000000-0005-0000-0000-00003A050000}"/>
    <cellStyle name="Обычный 10 3 4 2 5 4" xfId="1341" xr:uid="{00000000-0005-0000-0000-00003B050000}"/>
    <cellStyle name="Обычный 10 3 4 2 6" xfId="1342" xr:uid="{00000000-0005-0000-0000-00003C050000}"/>
    <cellStyle name="Обычный 10 3 4 2 6 2" xfId="1343" xr:uid="{00000000-0005-0000-0000-00003D050000}"/>
    <cellStyle name="Обычный 10 3 4 2 6 2 2" xfId="1344" xr:uid="{00000000-0005-0000-0000-00003E050000}"/>
    <cellStyle name="Обычный 10 3 4 2 6 3" xfId="1345" xr:uid="{00000000-0005-0000-0000-00003F050000}"/>
    <cellStyle name="Обычный 10 3 4 2 7" xfId="1346" xr:uid="{00000000-0005-0000-0000-000040050000}"/>
    <cellStyle name="Обычный 10 3 4 2 7 2" xfId="1347" xr:uid="{00000000-0005-0000-0000-000041050000}"/>
    <cellStyle name="Обычный 10 3 4 2 8" xfId="1348" xr:uid="{00000000-0005-0000-0000-000042050000}"/>
    <cellStyle name="Обычный 10 3 4 3" xfId="1349" xr:uid="{00000000-0005-0000-0000-000043050000}"/>
    <cellStyle name="Обычный 10 3 4 3 2" xfId="1350" xr:uid="{00000000-0005-0000-0000-000044050000}"/>
    <cellStyle name="Обычный 10 3 4 3 2 2" xfId="1351" xr:uid="{00000000-0005-0000-0000-000045050000}"/>
    <cellStyle name="Обычный 10 3 4 3 2 2 2" xfId="1352" xr:uid="{00000000-0005-0000-0000-000046050000}"/>
    <cellStyle name="Обычный 10 3 4 3 2 2 2 2" xfId="1353" xr:uid="{00000000-0005-0000-0000-000047050000}"/>
    <cellStyle name="Обычный 10 3 4 3 2 2 2 2 2" xfId="1354" xr:uid="{00000000-0005-0000-0000-000048050000}"/>
    <cellStyle name="Обычный 10 3 4 3 2 2 2 3" xfId="1355" xr:uid="{00000000-0005-0000-0000-000049050000}"/>
    <cellStyle name="Обычный 10 3 4 3 2 2 3" xfId="1356" xr:uid="{00000000-0005-0000-0000-00004A050000}"/>
    <cellStyle name="Обычный 10 3 4 3 2 2 3 2" xfId="1357" xr:uid="{00000000-0005-0000-0000-00004B050000}"/>
    <cellStyle name="Обычный 10 3 4 3 2 2 4" xfId="1358" xr:uid="{00000000-0005-0000-0000-00004C050000}"/>
    <cellStyle name="Обычный 10 3 4 3 2 3" xfId="1359" xr:uid="{00000000-0005-0000-0000-00004D050000}"/>
    <cellStyle name="Обычный 10 3 4 3 2 3 2" xfId="1360" xr:uid="{00000000-0005-0000-0000-00004E050000}"/>
    <cellStyle name="Обычный 10 3 4 3 2 3 2 2" xfId="1361" xr:uid="{00000000-0005-0000-0000-00004F050000}"/>
    <cellStyle name="Обычный 10 3 4 3 2 3 3" xfId="1362" xr:uid="{00000000-0005-0000-0000-000050050000}"/>
    <cellStyle name="Обычный 10 3 4 3 2 4" xfId="1363" xr:uid="{00000000-0005-0000-0000-000051050000}"/>
    <cellStyle name="Обычный 10 3 4 3 2 4 2" xfId="1364" xr:uid="{00000000-0005-0000-0000-000052050000}"/>
    <cellStyle name="Обычный 10 3 4 3 2 5" xfId="1365" xr:uid="{00000000-0005-0000-0000-000053050000}"/>
    <cellStyle name="Обычный 10 3 4 3 3" xfId="1366" xr:uid="{00000000-0005-0000-0000-000054050000}"/>
    <cellStyle name="Обычный 10 3 4 3 3 2" xfId="1367" xr:uid="{00000000-0005-0000-0000-000055050000}"/>
    <cellStyle name="Обычный 10 3 4 3 3 2 2" xfId="1368" xr:uid="{00000000-0005-0000-0000-000056050000}"/>
    <cellStyle name="Обычный 10 3 4 3 3 2 2 2" xfId="1369" xr:uid="{00000000-0005-0000-0000-000057050000}"/>
    <cellStyle name="Обычный 10 3 4 3 3 2 2 2 2" xfId="1370" xr:uid="{00000000-0005-0000-0000-000058050000}"/>
    <cellStyle name="Обычный 10 3 4 3 3 2 2 3" xfId="1371" xr:uid="{00000000-0005-0000-0000-000059050000}"/>
    <cellStyle name="Обычный 10 3 4 3 3 2 3" xfId="1372" xr:uid="{00000000-0005-0000-0000-00005A050000}"/>
    <cellStyle name="Обычный 10 3 4 3 3 2 3 2" xfId="1373" xr:uid="{00000000-0005-0000-0000-00005B050000}"/>
    <cellStyle name="Обычный 10 3 4 3 3 2 4" xfId="1374" xr:uid="{00000000-0005-0000-0000-00005C050000}"/>
    <cellStyle name="Обычный 10 3 4 3 3 3" xfId="1375" xr:uid="{00000000-0005-0000-0000-00005D050000}"/>
    <cellStyle name="Обычный 10 3 4 3 3 3 2" xfId="1376" xr:uid="{00000000-0005-0000-0000-00005E050000}"/>
    <cellStyle name="Обычный 10 3 4 3 3 3 2 2" xfId="1377" xr:uid="{00000000-0005-0000-0000-00005F050000}"/>
    <cellStyle name="Обычный 10 3 4 3 3 3 3" xfId="1378" xr:uid="{00000000-0005-0000-0000-000060050000}"/>
    <cellStyle name="Обычный 10 3 4 3 3 4" xfId="1379" xr:uid="{00000000-0005-0000-0000-000061050000}"/>
    <cellStyle name="Обычный 10 3 4 3 3 4 2" xfId="1380" xr:uid="{00000000-0005-0000-0000-000062050000}"/>
    <cellStyle name="Обычный 10 3 4 3 3 5" xfId="1381" xr:uid="{00000000-0005-0000-0000-000063050000}"/>
    <cellStyle name="Обычный 10 3 4 3 4" xfId="1382" xr:uid="{00000000-0005-0000-0000-000064050000}"/>
    <cellStyle name="Обычный 10 3 4 3 4 2" xfId="1383" xr:uid="{00000000-0005-0000-0000-000065050000}"/>
    <cellStyle name="Обычный 10 3 4 3 4 2 2" xfId="1384" xr:uid="{00000000-0005-0000-0000-000066050000}"/>
    <cellStyle name="Обычный 10 3 4 3 4 2 2 2" xfId="1385" xr:uid="{00000000-0005-0000-0000-000067050000}"/>
    <cellStyle name="Обычный 10 3 4 3 4 2 2 2 2" xfId="1386" xr:uid="{00000000-0005-0000-0000-000068050000}"/>
    <cellStyle name="Обычный 10 3 4 3 4 2 2 3" xfId="1387" xr:uid="{00000000-0005-0000-0000-000069050000}"/>
    <cellStyle name="Обычный 10 3 4 3 4 2 3" xfId="1388" xr:uid="{00000000-0005-0000-0000-00006A050000}"/>
    <cellStyle name="Обычный 10 3 4 3 4 2 3 2" xfId="1389" xr:uid="{00000000-0005-0000-0000-00006B050000}"/>
    <cellStyle name="Обычный 10 3 4 3 4 2 4" xfId="1390" xr:uid="{00000000-0005-0000-0000-00006C050000}"/>
    <cellStyle name="Обычный 10 3 4 3 4 3" xfId="1391" xr:uid="{00000000-0005-0000-0000-00006D050000}"/>
    <cellStyle name="Обычный 10 3 4 3 4 3 2" xfId="1392" xr:uid="{00000000-0005-0000-0000-00006E050000}"/>
    <cellStyle name="Обычный 10 3 4 3 4 3 2 2" xfId="1393" xr:uid="{00000000-0005-0000-0000-00006F050000}"/>
    <cellStyle name="Обычный 10 3 4 3 4 3 3" xfId="1394" xr:uid="{00000000-0005-0000-0000-000070050000}"/>
    <cellStyle name="Обычный 10 3 4 3 4 4" xfId="1395" xr:uid="{00000000-0005-0000-0000-000071050000}"/>
    <cellStyle name="Обычный 10 3 4 3 4 4 2" xfId="1396" xr:uid="{00000000-0005-0000-0000-000072050000}"/>
    <cellStyle name="Обычный 10 3 4 3 4 5" xfId="1397" xr:uid="{00000000-0005-0000-0000-000073050000}"/>
    <cellStyle name="Обычный 10 3 4 3 5" xfId="1398" xr:uid="{00000000-0005-0000-0000-000074050000}"/>
    <cellStyle name="Обычный 10 3 4 3 5 2" xfId="1399" xr:uid="{00000000-0005-0000-0000-000075050000}"/>
    <cellStyle name="Обычный 10 3 4 3 5 2 2" xfId="1400" xr:uid="{00000000-0005-0000-0000-000076050000}"/>
    <cellStyle name="Обычный 10 3 4 3 5 2 2 2" xfId="1401" xr:uid="{00000000-0005-0000-0000-000077050000}"/>
    <cellStyle name="Обычный 10 3 4 3 5 2 3" xfId="1402" xr:uid="{00000000-0005-0000-0000-000078050000}"/>
    <cellStyle name="Обычный 10 3 4 3 5 3" xfId="1403" xr:uid="{00000000-0005-0000-0000-000079050000}"/>
    <cellStyle name="Обычный 10 3 4 3 5 3 2" xfId="1404" xr:uid="{00000000-0005-0000-0000-00007A050000}"/>
    <cellStyle name="Обычный 10 3 4 3 5 4" xfId="1405" xr:uid="{00000000-0005-0000-0000-00007B050000}"/>
    <cellStyle name="Обычный 10 3 4 3 6" xfId="1406" xr:uid="{00000000-0005-0000-0000-00007C050000}"/>
    <cellStyle name="Обычный 10 3 4 3 6 2" xfId="1407" xr:uid="{00000000-0005-0000-0000-00007D050000}"/>
    <cellStyle name="Обычный 10 3 4 3 6 2 2" xfId="1408" xr:uid="{00000000-0005-0000-0000-00007E050000}"/>
    <cellStyle name="Обычный 10 3 4 3 6 3" xfId="1409" xr:uid="{00000000-0005-0000-0000-00007F050000}"/>
    <cellStyle name="Обычный 10 3 4 3 7" xfId="1410" xr:uid="{00000000-0005-0000-0000-000080050000}"/>
    <cellStyle name="Обычный 10 3 4 3 7 2" xfId="1411" xr:uid="{00000000-0005-0000-0000-000081050000}"/>
    <cellStyle name="Обычный 10 3 4 3 8" xfId="1412" xr:uid="{00000000-0005-0000-0000-000082050000}"/>
    <cellStyle name="Обычный 10 3 4 4" xfId="1413" xr:uid="{00000000-0005-0000-0000-000083050000}"/>
    <cellStyle name="Обычный 10 3 4 4 2" xfId="1414" xr:uid="{00000000-0005-0000-0000-000084050000}"/>
    <cellStyle name="Обычный 10 3 4 4 2 2" xfId="1415" xr:uid="{00000000-0005-0000-0000-000085050000}"/>
    <cellStyle name="Обычный 10 3 4 4 2 2 2" xfId="1416" xr:uid="{00000000-0005-0000-0000-000086050000}"/>
    <cellStyle name="Обычный 10 3 4 4 2 2 2 2" xfId="1417" xr:uid="{00000000-0005-0000-0000-000087050000}"/>
    <cellStyle name="Обычный 10 3 4 4 2 2 3" xfId="1418" xr:uid="{00000000-0005-0000-0000-000088050000}"/>
    <cellStyle name="Обычный 10 3 4 4 2 3" xfId="1419" xr:uid="{00000000-0005-0000-0000-000089050000}"/>
    <cellStyle name="Обычный 10 3 4 4 2 3 2" xfId="1420" xr:uid="{00000000-0005-0000-0000-00008A050000}"/>
    <cellStyle name="Обычный 10 3 4 4 2 4" xfId="1421" xr:uid="{00000000-0005-0000-0000-00008B050000}"/>
    <cellStyle name="Обычный 10 3 4 4 3" xfId="1422" xr:uid="{00000000-0005-0000-0000-00008C050000}"/>
    <cellStyle name="Обычный 10 3 4 4 3 2" xfId="1423" xr:uid="{00000000-0005-0000-0000-00008D050000}"/>
    <cellStyle name="Обычный 10 3 4 4 3 2 2" xfId="1424" xr:uid="{00000000-0005-0000-0000-00008E050000}"/>
    <cellStyle name="Обычный 10 3 4 4 3 3" xfId="1425" xr:uid="{00000000-0005-0000-0000-00008F050000}"/>
    <cellStyle name="Обычный 10 3 4 4 4" xfId="1426" xr:uid="{00000000-0005-0000-0000-000090050000}"/>
    <cellStyle name="Обычный 10 3 4 4 4 2" xfId="1427" xr:uid="{00000000-0005-0000-0000-000091050000}"/>
    <cellStyle name="Обычный 10 3 4 4 5" xfId="1428" xr:uid="{00000000-0005-0000-0000-000092050000}"/>
    <cellStyle name="Обычный 10 3 4 5" xfId="1429" xr:uid="{00000000-0005-0000-0000-000093050000}"/>
    <cellStyle name="Обычный 10 3 4 5 2" xfId="1430" xr:uid="{00000000-0005-0000-0000-000094050000}"/>
    <cellStyle name="Обычный 10 3 4 5 2 2" xfId="1431" xr:uid="{00000000-0005-0000-0000-000095050000}"/>
    <cellStyle name="Обычный 10 3 4 5 2 2 2" xfId="1432" xr:uid="{00000000-0005-0000-0000-000096050000}"/>
    <cellStyle name="Обычный 10 3 4 5 2 2 2 2" xfId="1433" xr:uid="{00000000-0005-0000-0000-000097050000}"/>
    <cellStyle name="Обычный 10 3 4 5 2 2 3" xfId="1434" xr:uid="{00000000-0005-0000-0000-000098050000}"/>
    <cellStyle name="Обычный 10 3 4 5 2 3" xfId="1435" xr:uid="{00000000-0005-0000-0000-000099050000}"/>
    <cellStyle name="Обычный 10 3 4 5 2 3 2" xfId="1436" xr:uid="{00000000-0005-0000-0000-00009A050000}"/>
    <cellStyle name="Обычный 10 3 4 5 2 4" xfId="1437" xr:uid="{00000000-0005-0000-0000-00009B050000}"/>
    <cellStyle name="Обычный 10 3 4 5 3" xfId="1438" xr:uid="{00000000-0005-0000-0000-00009C050000}"/>
    <cellStyle name="Обычный 10 3 4 5 3 2" xfId="1439" xr:uid="{00000000-0005-0000-0000-00009D050000}"/>
    <cellStyle name="Обычный 10 3 4 5 3 2 2" xfId="1440" xr:uid="{00000000-0005-0000-0000-00009E050000}"/>
    <cellStyle name="Обычный 10 3 4 5 3 3" xfId="1441" xr:uid="{00000000-0005-0000-0000-00009F050000}"/>
    <cellStyle name="Обычный 10 3 4 5 4" xfId="1442" xr:uid="{00000000-0005-0000-0000-0000A0050000}"/>
    <cellStyle name="Обычный 10 3 4 5 4 2" xfId="1443" xr:uid="{00000000-0005-0000-0000-0000A1050000}"/>
    <cellStyle name="Обычный 10 3 4 5 5" xfId="1444" xr:uid="{00000000-0005-0000-0000-0000A2050000}"/>
    <cellStyle name="Обычный 10 3 4 6" xfId="1445" xr:uid="{00000000-0005-0000-0000-0000A3050000}"/>
    <cellStyle name="Обычный 10 3 4 6 2" xfId="1446" xr:uid="{00000000-0005-0000-0000-0000A4050000}"/>
    <cellStyle name="Обычный 10 3 4 6 2 2" xfId="1447" xr:uid="{00000000-0005-0000-0000-0000A5050000}"/>
    <cellStyle name="Обычный 10 3 4 6 2 2 2" xfId="1448" xr:uid="{00000000-0005-0000-0000-0000A6050000}"/>
    <cellStyle name="Обычный 10 3 4 6 2 2 2 2" xfId="1449" xr:uid="{00000000-0005-0000-0000-0000A7050000}"/>
    <cellStyle name="Обычный 10 3 4 6 2 2 3" xfId="1450" xr:uid="{00000000-0005-0000-0000-0000A8050000}"/>
    <cellStyle name="Обычный 10 3 4 6 2 3" xfId="1451" xr:uid="{00000000-0005-0000-0000-0000A9050000}"/>
    <cellStyle name="Обычный 10 3 4 6 2 3 2" xfId="1452" xr:uid="{00000000-0005-0000-0000-0000AA050000}"/>
    <cellStyle name="Обычный 10 3 4 6 2 4" xfId="1453" xr:uid="{00000000-0005-0000-0000-0000AB050000}"/>
    <cellStyle name="Обычный 10 3 4 6 3" xfId="1454" xr:uid="{00000000-0005-0000-0000-0000AC050000}"/>
    <cellStyle name="Обычный 10 3 4 6 3 2" xfId="1455" xr:uid="{00000000-0005-0000-0000-0000AD050000}"/>
    <cellStyle name="Обычный 10 3 4 6 3 2 2" xfId="1456" xr:uid="{00000000-0005-0000-0000-0000AE050000}"/>
    <cellStyle name="Обычный 10 3 4 6 3 3" xfId="1457" xr:uid="{00000000-0005-0000-0000-0000AF050000}"/>
    <cellStyle name="Обычный 10 3 4 6 4" xfId="1458" xr:uid="{00000000-0005-0000-0000-0000B0050000}"/>
    <cellStyle name="Обычный 10 3 4 6 4 2" xfId="1459" xr:uid="{00000000-0005-0000-0000-0000B1050000}"/>
    <cellStyle name="Обычный 10 3 4 6 5" xfId="1460" xr:uid="{00000000-0005-0000-0000-0000B2050000}"/>
    <cellStyle name="Обычный 10 3 4 7" xfId="1461" xr:uid="{00000000-0005-0000-0000-0000B3050000}"/>
    <cellStyle name="Обычный 10 3 4 7 2" xfId="1462" xr:uid="{00000000-0005-0000-0000-0000B4050000}"/>
    <cellStyle name="Обычный 10 3 4 7 2 2" xfId="1463" xr:uid="{00000000-0005-0000-0000-0000B5050000}"/>
    <cellStyle name="Обычный 10 3 4 7 2 2 2" xfId="1464" xr:uid="{00000000-0005-0000-0000-0000B6050000}"/>
    <cellStyle name="Обычный 10 3 4 7 2 3" xfId="1465" xr:uid="{00000000-0005-0000-0000-0000B7050000}"/>
    <cellStyle name="Обычный 10 3 4 7 3" xfId="1466" xr:uid="{00000000-0005-0000-0000-0000B8050000}"/>
    <cellStyle name="Обычный 10 3 4 7 3 2" xfId="1467" xr:uid="{00000000-0005-0000-0000-0000B9050000}"/>
    <cellStyle name="Обычный 10 3 4 7 4" xfId="1468" xr:uid="{00000000-0005-0000-0000-0000BA050000}"/>
    <cellStyle name="Обычный 10 3 4 8" xfId="1469" xr:uid="{00000000-0005-0000-0000-0000BB050000}"/>
    <cellStyle name="Обычный 10 3 4 8 2" xfId="1470" xr:uid="{00000000-0005-0000-0000-0000BC050000}"/>
    <cellStyle name="Обычный 10 3 4 8 2 2" xfId="1471" xr:uid="{00000000-0005-0000-0000-0000BD050000}"/>
    <cellStyle name="Обычный 10 3 4 8 3" xfId="1472" xr:uid="{00000000-0005-0000-0000-0000BE050000}"/>
    <cellStyle name="Обычный 10 3 4 9" xfId="1473" xr:uid="{00000000-0005-0000-0000-0000BF050000}"/>
    <cellStyle name="Обычный 10 3 4 9 2" xfId="1474" xr:uid="{00000000-0005-0000-0000-0000C0050000}"/>
    <cellStyle name="Обычный 10 3 5" xfId="1475" xr:uid="{00000000-0005-0000-0000-0000C1050000}"/>
    <cellStyle name="Обычный 10 3 5 10" xfId="1476" xr:uid="{00000000-0005-0000-0000-0000C2050000}"/>
    <cellStyle name="Обычный 10 3 5 2" xfId="1477" xr:uid="{00000000-0005-0000-0000-0000C3050000}"/>
    <cellStyle name="Обычный 10 3 5 2 2" xfId="1478" xr:uid="{00000000-0005-0000-0000-0000C4050000}"/>
    <cellStyle name="Обычный 10 3 5 2 2 2" xfId="1479" xr:uid="{00000000-0005-0000-0000-0000C5050000}"/>
    <cellStyle name="Обычный 10 3 5 2 2 2 2" xfId="1480" xr:uid="{00000000-0005-0000-0000-0000C6050000}"/>
    <cellStyle name="Обычный 10 3 5 2 2 2 2 2" xfId="1481" xr:uid="{00000000-0005-0000-0000-0000C7050000}"/>
    <cellStyle name="Обычный 10 3 5 2 2 2 2 2 2" xfId="1482" xr:uid="{00000000-0005-0000-0000-0000C8050000}"/>
    <cellStyle name="Обычный 10 3 5 2 2 2 2 3" xfId="1483" xr:uid="{00000000-0005-0000-0000-0000C9050000}"/>
    <cellStyle name="Обычный 10 3 5 2 2 2 3" xfId="1484" xr:uid="{00000000-0005-0000-0000-0000CA050000}"/>
    <cellStyle name="Обычный 10 3 5 2 2 2 3 2" xfId="1485" xr:uid="{00000000-0005-0000-0000-0000CB050000}"/>
    <cellStyle name="Обычный 10 3 5 2 2 2 4" xfId="1486" xr:uid="{00000000-0005-0000-0000-0000CC050000}"/>
    <cellStyle name="Обычный 10 3 5 2 2 3" xfId="1487" xr:uid="{00000000-0005-0000-0000-0000CD050000}"/>
    <cellStyle name="Обычный 10 3 5 2 2 3 2" xfId="1488" xr:uid="{00000000-0005-0000-0000-0000CE050000}"/>
    <cellStyle name="Обычный 10 3 5 2 2 3 2 2" xfId="1489" xr:uid="{00000000-0005-0000-0000-0000CF050000}"/>
    <cellStyle name="Обычный 10 3 5 2 2 3 3" xfId="1490" xr:uid="{00000000-0005-0000-0000-0000D0050000}"/>
    <cellStyle name="Обычный 10 3 5 2 2 4" xfId="1491" xr:uid="{00000000-0005-0000-0000-0000D1050000}"/>
    <cellStyle name="Обычный 10 3 5 2 2 4 2" xfId="1492" xr:uid="{00000000-0005-0000-0000-0000D2050000}"/>
    <cellStyle name="Обычный 10 3 5 2 2 5" xfId="1493" xr:uid="{00000000-0005-0000-0000-0000D3050000}"/>
    <cellStyle name="Обычный 10 3 5 2 3" xfId="1494" xr:uid="{00000000-0005-0000-0000-0000D4050000}"/>
    <cellStyle name="Обычный 10 3 5 2 3 2" xfId="1495" xr:uid="{00000000-0005-0000-0000-0000D5050000}"/>
    <cellStyle name="Обычный 10 3 5 2 3 2 2" xfId="1496" xr:uid="{00000000-0005-0000-0000-0000D6050000}"/>
    <cellStyle name="Обычный 10 3 5 2 3 2 2 2" xfId="1497" xr:uid="{00000000-0005-0000-0000-0000D7050000}"/>
    <cellStyle name="Обычный 10 3 5 2 3 2 2 2 2" xfId="1498" xr:uid="{00000000-0005-0000-0000-0000D8050000}"/>
    <cellStyle name="Обычный 10 3 5 2 3 2 2 3" xfId="1499" xr:uid="{00000000-0005-0000-0000-0000D9050000}"/>
    <cellStyle name="Обычный 10 3 5 2 3 2 3" xfId="1500" xr:uid="{00000000-0005-0000-0000-0000DA050000}"/>
    <cellStyle name="Обычный 10 3 5 2 3 2 3 2" xfId="1501" xr:uid="{00000000-0005-0000-0000-0000DB050000}"/>
    <cellStyle name="Обычный 10 3 5 2 3 2 4" xfId="1502" xr:uid="{00000000-0005-0000-0000-0000DC050000}"/>
    <cellStyle name="Обычный 10 3 5 2 3 3" xfId="1503" xr:uid="{00000000-0005-0000-0000-0000DD050000}"/>
    <cellStyle name="Обычный 10 3 5 2 3 3 2" xfId="1504" xr:uid="{00000000-0005-0000-0000-0000DE050000}"/>
    <cellStyle name="Обычный 10 3 5 2 3 3 2 2" xfId="1505" xr:uid="{00000000-0005-0000-0000-0000DF050000}"/>
    <cellStyle name="Обычный 10 3 5 2 3 3 3" xfId="1506" xr:uid="{00000000-0005-0000-0000-0000E0050000}"/>
    <cellStyle name="Обычный 10 3 5 2 3 4" xfId="1507" xr:uid="{00000000-0005-0000-0000-0000E1050000}"/>
    <cellStyle name="Обычный 10 3 5 2 3 4 2" xfId="1508" xr:uid="{00000000-0005-0000-0000-0000E2050000}"/>
    <cellStyle name="Обычный 10 3 5 2 3 5" xfId="1509" xr:uid="{00000000-0005-0000-0000-0000E3050000}"/>
    <cellStyle name="Обычный 10 3 5 2 4" xfId="1510" xr:uid="{00000000-0005-0000-0000-0000E4050000}"/>
    <cellStyle name="Обычный 10 3 5 2 4 2" xfId="1511" xr:uid="{00000000-0005-0000-0000-0000E5050000}"/>
    <cellStyle name="Обычный 10 3 5 2 4 2 2" xfId="1512" xr:uid="{00000000-0005-0000-0000-0000E6050000}"/>
    <cellStyle name="Обычный 10 3 5 2 4 2 2 2" xfId="1513" xr:uid="{00000000-0005-0000-0000-0000E7050000}"/>
    <cellStyle name="Обычный 10 3 5 2 4 2 2 2 2" xfId="1514" xr:uid="{00000000-0005-0000-0000-0000E8050000}"/>
    <cellStyle name="Обычный 10 3 5 2 4 2 2 3" xfId="1515" xr:uid="{00000000-0005-0000-0000-0000E9050000}"/>
    <cellStyle name="Обычный 10 3 5 2 4 2 3" xfId="1516" xr:uid="{00000000-0005-0000-0000-0000EA050000}"/>
    <cellStyle name="Обычный 10 3 5 2 4 2 3 2" xfId="1517" xr:uid="{00000000-0005-0000-0000-0000EB050000}"/>
    <cellStyle name="Обычный 10 3 5 2 4 2 4" xfId="1518" xr:uid="{00000000-0005-0000-0000-0000EC050000}"/>
    <cellStyle name="Обычный 10 3 5 2 4 3" xfId="1519" xr:uid="{00000000-0005-0000-0000-0000ED050000}"/>
    <cellStyle name="Обычный 10 3 5 2 4 3 2" xfId="1520" xr:uid="{00000000-0005-0000-0000-0000EE050000}"/>
    <cellStyle name="Обычный 10 3 5 2 4 3 2 2" xfId="1521" xr:uid="{00000000-0005-0000-0000-0000EF050000}"/>
    <cellStyle name="Обычный 10 3 5 2 4 3 3" xfId="1522" xr:uid="{00000000-0005-0000-0000-0000F0050000}"/>
    <cellStyle name="Обычный 10 3 5 2 4 4" xfId="1523" xr:uid="{00000000-0005-0000-0000-0000F1050000}"/>
    <cellStyle name="Обычный 10 3 5 2 4 4 2" xfId="1524" xr:uid="{00000000-0005-0000-0000-0000F2050000}"/>
    <cellStyle name="Обычный 10 3 5 2 4 5" xfId="1525" xr:uid="{00000000-0005-0000-0000-0000F3050000}"/>
    <cellStyle name="Обычный 10 3 5 2 5" xfId="1526" xr:uid="{00000000-0005-0000-0000-0000F4050000}"/>
    <cellStyle name="Обычный 10 3 5 2 5 2" xfId="1527" xr:uid="{00000000-0005-0000-0000-0000F5050000}"/>
    <cellStyle name="Обычный 10 3 5 2 5 2 2" xfId="1528" xr:uid="{00000000-0005-0000-0000-0000F6050000}"/>
    <cellStyle name="Обычный 10 3 5 2 5 2 2 2" xfId="1529" xr:uid="{00000000-0005-0000-0000-0000F7050000}"/>
    <cellStyle name="Обычный 10 3 5 2 5 2 3" xfId="1530" xr:uid="{00000000-0005-0000-0000-0000F8050000}"/>
    <cellStyle name="Обычный 10 3 5 2 5 3" xfId="1531" xr:uid="{00000000-0005-0000-0000-0000F9050000}"/>
    <cellStyle name="Обычный 10 3 5 2 5 3 2" xfId="1532" xr:uid="{00000000-0005-0000-0000-0000FA050000}"/>
    <cellStyle name="Обычный 10 3 5 2 5 4" xfId="1533" xr:uid="{00000000-0005-0000-0000-0000FB050000}"/>
    <cellStyle name="Обычный 10 3 5 2 6" xfId="1534" xr:uid="{00000000-0005-0000-0000-0000FC050000}"/>
    <cellStyle name="Обычный 10 3 5 2 6 2" xfId="1535" xr:uid="{00000000-0005-0000-0000-0000FD050000}"/>
    <cellStyle name="Обычный 10 3 5 2 6 2 2" xfId="1536" xr:uid="{00000000-0005-0000-0000-0000FE050000}"/>
    <cellStyle name="Обычный 10 3 5 2 6 3" xfId="1537" xr:uid="{00000000-0005-0000-0000-0000FF050000}"/>
    <cellStyle name="Обычный 10 3 5 2 7" xfId="1538" xr:uid="{00000000-0005-0000-0000-000000060000}"/>
    <cellStyle name="Обычный 10 3 5 2 7 2" xfId="1539" xr:uid="{00000000-0005-0000-0000-000001060000}"/>
    <cellStyle name="Обычный 10 3 5 2 8" xfId="1540" xr:uid="{00000000-0005-0000-0000-000002060000}"/>
    <cellStyle name="Обычный 10 3 5 3" xfId="1541" xr:uid="{00000000-0005-0000-0000-000003060000}"/>
    <cellStyle name="Обычный 10 3 5 3 2" xfId="1542" xr:uid="{00000000-0005-0000-0000-000004060000}"/>
    <cellStyle name="Обычный 10 3 5 3 2 2" xfId="1543" xr:uid="{00000000-0005-0000-0000-000005060000}"/>
    <cellStyle name="Обычный 10 3 5 3 2 2 2" xfId="1544" xr:uid="{00000000-0005-0000-0000-000006060000}"/>
    <cellStyle name="Обычный 10 3 5 3 2 2 2 2" xfId="1545" xr:uid="{00000000-0005-0000-0000-000007060000}"/>
    <cellStyle name="Обычный 10 3 5 3 2 2 2 2 2" xfId="1546" xr:uid="{00000000-0005-0000-0000-000008060000}"/>
    <cellStyle name="Обычный 10 3 5 3 2 2 2 3" xfId="1547" xr:uid="{00000000-0005-0000-0000-000009060000}"/>
    <cellStyle name="Обычный 10 3 5 3 2 2 3" xfId="1548" xr:uid="{00000000-0005-0000-0000-00000A060000}"/>
    <cellStyle name="Обычный 10 3 5 3 2 2 3 2" xfId="1549" xr:uid="{00000000-0005-0000-0000-00000B060000}"/>
    <cellStyle name="Обычный 10 3 5 3 2 2 4" xfId="1550" xr:uid="{00000000-0005-0000-0000-00000C060000}"/>
    <cellStyle name="Обычный 10 3 5 3 2 3" xfId="1551" xr:uid="{00000000-0005-0000-0000-00000D060000}"/>
    <cellStyle name="Обычный 10 3 5 3 2 3 2" xfId="1552" xr:uid="{00000000-0005-0000-0000-00000E060000}"/>
    <cellStyle name="Обычный 10 3 5 3 2 3 2 2" xfId="1553" xr:uid="{00000000-0005-0000-0000-00000F060000}"/>
    <cellStyle name="Обычный 10 3 5 3 2 3 3" xfId="1554" xr:uid="{00000000-0005-0000-0000-000010060000}"/>
    <cellStyle name="Обычный 10 3 5 3 2 4" xfId="1555" xr:uid="{00000000-0005-0000-0000-000011060000}"/>
    <cellStyle name="Обычный 10 3 5 3 2 4 2" xfId="1556" xr:uid="{00000000-0005-0000-0000-000012060000}"/>
    <cellStyle name="Обычный 10 3 5 3 2 5" xfId="1557" xr:uid="{00000000-0005-0000-0000-000013060000}"/>
    <cellStyle name="Обычный 10 3 5 3 3" xfId="1558" xr:uid="{00000000-0005-0000-0000-000014060000}"/>
    <cellStyle name="Обычный 10 3 5 3 3 2" xfId="1559" xr:uid="{00000000-0005-0000-0000-000015060000}"/>
    <cellStyle name="Обычный 10 3 5 3 3 2 2" xfId="1560" xr:uid="{00000000-0005-0000-0000-000016060000}"/>
    <cellStyle name="Обычный 10 3 5 3 3 2 2 2" xfId="1561" xr:uid="{00000000-0005-0000-0000-000017060000}"/>
    <cellStyle name="Обычный 10 3 5 3 3 2 2 2 2" xfId="1562" xr:uid="{00000000-0005-0000-0000-000018060000}"/>
    <cellStyle name="Обычный 10 3 5 3 3 2 2 3" xfId="1563" xr:uid="{00000000-0005-0000-0000-000019060000}"/>
    <cellStyle name="Обычный 10 3 5 3 3 2 3" xfId="1564" xr:uid="{00000000-0005-0000-0000-00001A060000}"/>
    <cellStyle name="Обычный 10 3 5 3 3 2 3 2" xfId="1565" xr:uid="{00000000-0005-0000-0000-00001B060000}"/>
    <cellStyle name="Обычный 10 3 5 3 3 2 4" xfId="1566" xr:uid="{00000000-0005-0000-0000-00001C060000}"/>
    <cellStyle name="Обычный 10 3 5 3 3 3" xfId="1567" xr:uid="{00000000-0005-0000-0000-00001D060000}"/>
    <cellStyle name="Обычный 10 3 5 3 3 3 2" xfId="1568" xr:uid="{00000000-0005-0000-0000-00001E060000}"/>
    <cellStyle name="Обычный 10 3 5 3 3 3 2 2" xfId="1569" xr:uid="{00000000-0005-0000-0000-00001F060000}"/>
    <cellStyle name="Обычный 10 3 5 3 3 3 3" xfId="1570" xr:uid="{00000000-0005-0000-0000-000020060000}"/>
    <cellStyle name="Обычный 10 3 5 3 3 4" xfId="1571" xr:uid="{00000000-0005-0000-0000-000021060000}"/>
    <cellStyle name="Обычный 10 3 5 3 3 4 2" xfId="1572" xr:uid="{00000000-0005-0000-0000-000022060000}"/>
    <cellStyle name="Обычный 10 3 5 3 3 5" xfId="1573" xr:uid="{00000000-0005-0000-0000-000023060000}"/>
    <cellStyle name="Обычный 10 3 5 3 4" xfId="1574" xr:uid="{00000000-0005-0000-0000-000024060000}"/>
    <cellStyle name="Обычный 10 3 5 3 4 2" xfId="1575" xr:uid="{00000000-0005-0000-0000-000025060000}"/>
    <cellStyle name="Обычный 10 3 5 3 4 2 2" xfId="1576" xr:uid="{00000000-0005-0000-0000-000026060000}"/>
    <cellStyle name="Обычный 10 3 5 3 4 2 2 2" xfId="1577" xr:uid="{00000000-0005-0000-0000-000027060000}"/>
    <cellStyle name="Обычный 10 3 5 3 4 2 2 2 2" xfId="1578" xr:uid="{00000000-0005-0000-0000-000028060000}"/>
    <cellStyle name="Обычный 10 3 5 3 4 2 2 3" xfId="1579" xr:uid="{00000000-0005-0000-0000-000029060000}"/>
    <cellStyle name="Обычный 10 3 5 3 4 2 3" xfId="1580" xr:uid="{00000000-0005-0000-0000-00002A060000}"/>
    <cellStyle name="Обычный 10 3 5 3 4 2 3 2" xfId="1581" xr:uid="{00000000-0005-0000-0000-00002B060000}"/>
    <cellStyle name="Обычный 10 3 5 3 4 2 4" xfId="1582" xr:uid="{00000000-0005-0000-0000-00002C060000}"/>
    <cellStyle name="Обычный 10 3 5 3 4 3" xfId="1583" xr:uid="{00000000-0005-0000-0000-00002D060000}"/>
    <cellStyle name="Обычный 10 3 5 3 4 3 2" xfId="1584" xr:uid="{00000000-0005-0000-0000-00002E060000}"/>
    <cellStyle name="Обычный 10 3 5 3 4 3 2 2" xfId="1585" xr:uid="{00000000-0005-0000-0000-00002F060000}"/>
    <cellStyle name="Обычный 10 3 5 3 4 3 3" xfId="1586" xr:uid="{00000000-0005-0000-0000-000030060000}"/>
    <cellStyle name="Обычный 10 3 5 3 4 4" xfId="1587" xr:uid="{00000000-0005-0000-0000-000031060000}"/>
    <cellStyle name="Обычный 10 3 5 3 4 4 2" xfId="1588" xr:uid="{00000000-0005-0000-0000-000032060000}"/>
    <cellStyle name="Обычный 10 3 5 3 4 5" xfId="1589" xr:uid="{00000000-0005-0000-0000-000033060000}"/>
    <cellStyle name="Обычный 10 3 5 3 5" xfId="1590" xr:uid="{00000000-0005-0000-0000-000034060000}"/>
    <cellStyle name="Обычный 10 3 5 3 5 2" xfId="1591" xr:uid="{00000000-0005-0000-0000-000035060000}"/>
    <cellStyle name="Обычный 10 3 5 3 5 2 2" xfId="1592" xr:uid="{00000000-0005-0000-0000-000036060000}"/>
    <cellStyle name="Обычный 10 3 5 3 5 2 2 2" xfId="1593" xr:uid="{00000000-0005-0000-0000-000037060000}"/>
    <cellStyle name="Обычный 10 3 5 3 5 2 3" xfId="1594" xr:uid="{00000000-0005-0000-0000-000038060000}"/>
    <cellStyle name="Обычный 10 3 5 3 5 3" xfId="1595" xr:uid="{00000000-0005-0000-0000-000039060000}"/>
    <cellStyle name="Обычный 10 3 5 3 5 3 2" xfId="1596" xr:uid="{00000000-0005-0000-0000-00003A060000}"/>
    <cellStyle name="Обычный 10 3 5 3 5 4" xfId="1597" xr:uid="{00000000-0005-0000-0000-00003B060000}"/>
    <cellStyle name="Обычный 10 3 5 3 6" xfId="1598" xr:uid="{00000000-0005-0000-0000-00003C060000}"/>
    <cellStyle name="Обычный 10 3 5 3 6 2" xfId="1599" xr:uid="{00000000-0005-0000-0000-00003D060000}"/>
    <cellStyle name="Обычный 10 3 5 3 6 2 2" xfId="1600" xr:uid="{00000000-0005-0000-0000-00003E060000}"/>
    <cellStyle name="Обычный 10 3 5 3 6 3" xfId="1601" xr:uid="{00000000-0005-0000-0000-00003F060000}"/>
    <cellStyle name="Обычный 10 3 5 3 7" xfId="1602" xr:uid="{00000000-0005-0000-0000-000040060000}"/>
    <cellStyle name="Обычный 10 3 5 3 7 2" xfId="1603" xr:uid="{00000000-0005-0000-0000-000041060000}"/>
    <cellStyle name="Обычный 10 3 5 3 8" xfId="1604" xr:uid="{00000000-0005-0000-0000-000042060000}"/>
    <cellStyle name="Обычный 10 3 5 4" xfId="1605" xr:uid="{00000000-0005-0000-0000-000043060000}"/>
    <cellStyle name="Обычный 10 3 5 4 2" xfId="1606" xr:uid="{00000000-0005-0000-0000-000044060000}"/>
    <cellStyle name="Обычный 10 3 5 4 2 2" xfId="1607" xr:uid="{00000000-0005-0000-0000-000045060000}"/>
    <cellStyle name="Обычный 10 3 5 4 2 2 2" xfId="1608" xr:uid="{00000000-0005-0000-0000-000046060000}"/>
    <cellStyle name="Обычный 10 3 5 4 2 2 2 2" xfId="1609" xr:uid="{00000000-0005-0000-0000-000047060000}"/>
    <cellStyle name="Обычный 10 3 5 4 2 2 3" xfId="1610" xr:uid="{00000000-0005-0000-0000-000048060000}"/>
    <cellStyle name="Обычный 10 3 5 4 2 3" xfId="1611" xr:uid="{00000000-0005-0000-0000-000049060000}"/>
    <cellStyle name="Обычный 10 3 5 4 2 3 2" xfId="1612" xr:uid="{00000000-0005-0000-0000-00004A060000}"/>
    <cellStyle name="Обычный 10 3 5 4 2 4" xfId="1613" xr:uid="{00000000-0005-0000-0000-00004B060000}"/>
    <cellStyle name="Обычный 10 3 5 4 3" xfId="1614" xr:uid="{00000000-0005-0000-0000-00004C060000}"/>
    <cellStyle name="Обычный 10 3 5 4 3 2" xfId="1615" xr:uid="{00000000-0005-0000-0000-00004D060000}"/>
    <cellStyle name="Обычный 10 3 5 4 3 2 2" xfId="1616" xr:uid="{00000000-0005-0000-0000-00004E060000}"/>
    <cellStyle name="Обычный 10 3 5 4 3 3" xfId="1617" xr:uid="{00000000-0005-0000-0000-00004F060000}"/>
    <cellStyle name="Обычный 10 3 5 4 4" xfId="1618" xr:uid="{00000000-0005-0000-0000-000050060000}"/>
    <cellStyle name="Обычный 10 3 5 4 4 2" xfId="1619" xr:uid="{00000000-0005-0000-0000-000051060000}"/>
    <cellStyle name="Обычный 10 3 5 4 5" xfId="1620" xr:uid="{00000000-0005-0000-0000-000052060000}"/>
    <cellStyle name="Обычный 10 3 5 5" xfId="1621" xr:uid="{00000000-0005-0000-0000-000053060000}"/>
    <cellStyle name="Обычный 10 3 5 5 2" xfId="1622" xr:uid="{00000000-0005-0000-0000-000054060000}"/>
    <cellStyle name="Обычный 10 3 5 5 2 2" xfId="1623" xr:uid="{00000000-0005-0000-0000-000055060000}"/>
    <cellStyle name="Обычный 10 3 5 5 2 2 2" xfId="1624" xr:uid="{00000000-0005-0000-0000-000056060000}"/>
    <cellStyle name="Обычный 10 3 5 5 2 2 2 2" xfId="1625" xr:uid="{00000000-0005-0000-0000-000057060000}"/>
    <cellStyle name="Обычный 10 3 5 5 2 2 3" xfId="1626" xr:uid="{00000000-0005-0000-0000-000058060000}"/>
    <cellStyle name="Обычный 10 3 5 5 2 3" xfId="1627" xr:uid="{00000000-0005-0000-0000-000059060000}"/>
    <cellStyle name="Обычный 10 3 5 5 2 3 2" xfId="1628" xr:uid="{00000000-0005-0000-0000-00005A060000}"/>
    <cellStyle name="Обычный 10 3 5 5 2 4" xfId="1629" xr:uid="{00000000-0005-0000-0000-00005B060000}"/>
    <cellStyle name="Обычный 10 3 5 5 3" xfId="1630" xr:uid="{00000000-0005-0000-0000-00005C060000}"/>
    <cellStyle name="Обычный 10 3 5 5 3 2" xfId="1631" xr:uid="{00000000-0005-0000-0000-00005D060000}"/>
    <cellStyle name="Обычный 10 3 5 5 3 2 2" xfId="1632" xr:uid="{00000000-0005-0000-0000-00005E060000}"/>
    <cellStyle name="Обычный 10 3 5 5 3 3" xfId="1633" xr:uid="{00000000-0005-0000-0000-00005F060000}"/>
    <cellStyle name="Обычный 10 3 5 5 4" xfId="1634" xr:uid="{00000000-0005-0000-0000-000060060000}"/>
    <cellStyle name="Обычный 10 3 5 5 4 2" xfId="1635" xr:uid="{00000000-0005-0000-0000-000061060000}"/>
    <cellStyle name="Обычный 10 3 5 5 5" xfId="1636" xr:uid="{00000000-0005-0000-0000-000062060000}"/>
    <cellStyle name="Обычный 10 3 5 6" xfId="1637" xr:uid="{00000000-0005-0000-0000-000063060000}"/>
    <cellStyle name="Обычный 10 3 5 6 2" xfId="1638" xr:uid="{00000000-0005-0000-0000-000064060000}"/>
    <cellStyle name="Обычный 10 3 5 6 2 2" xfId="1639" xr:uid="{00000000-0005-0000-0000-000065060000}"/>
    <cellStyle name="Обычный 10 3 5 6 2 2 2" xfId="1640" xr:uid="{00000000-0005-0000-0000-000066060000}"/>
    <cellStyle name="Обычный 10 3 5 6 2 2 2 2" xfId="1641" xr:uid="{00000000-0005-0000-0000-000067060000}"/>
    <cellStyle name="Обычный 10 3 5 6 2 2 3" xfId="1642" xr:uid="{00000000-0005-0000-0000-000068060000}"/>
    <cellStyle name="Обычный 10 3 5 6 2 3" xfId="1643" xr:uid="{00000000-0005-0000-0000-000069060000}"/>
    <cellStyle name="Обычный 10 3 5 6 2 3 2" xfId="1644" xr:uid="{00000000-0005-0000-0000-00006A060000}"/>
    <cellStyle name="Обычный 10 3 5 6 2 4" xfId="1645" xr:uid="{00000000-0005-0000-0000-00006B060000}"/>
    <cellStyle name="Обычный 10 3 5 6 3" xfId="1646" xr:uid="{00000000-0005-0000-0000-00006C060000}"/>
    <cellStyle name="Обычный 10 3 5 6 3 2" xfId="1647" xr:uid="{00000000-0005-0000-0000-00006D060000}"/>
    <cellStyle name="Обычный 10 3 5 6 3 2 2" xfId="1648" xr:uid="{00000000-0005-0000-0000-00006E060000}"/>
    <cellStyle name="Обычный 10 3 5 6 3 3" xfId="1649" xr:uid="{00000000-0005-0000-0000-00006F060000}"/>
    <cellStyle name="Обычный 10 3 5 6 4" xfId="1650" xr:uid="{00000000-0005-0000-0000-000070060000}"/>
    <cellStyle name="Обычный 10 3 5 6 4 2" xfId="1651" xr:uid="{00000000-0005-0000-0000-000071060000}"/>
    <cellStyle name="Обычный 10 3 5 6 5" xfId="1652" xr:uid="{00000000-0005-0000-0000-000072060000}"/>
    <cellStyle name="Обычный 10 3 5 7" xfId="1653" xr:uid="{00000000-0005-0000-0000-000073060000}"/>
    <cellStyle name="Обычный 10 3 5 7 2" xfId="1654" xr:uid="{00000000-0005-0000-0000-000074060000}"/>
    <cellStyle name="Обычный 10 3 5 7 2 2" xfId="1655" xr:uid="{00000000-0005-0000-0000-000075060000}"/>
    <cellStyle name="Обычный 10 3 5 7 2 2 2" xfId="1656" xr:uid="{00000000-0005-0000-0000-000076060000}"/>
    <cellStyle name="Обычный 10 3 5 7 2 3" xfId="1657" xr:uid="{00000000-0005-0000-0000-000077060000}"/>
    <cellStyle name="Обычный 10 3 5 7 3" xfId="1658" xr:uid="{00000000-0005-0000-0000-000078060000}"/>
    <cellStyle name="Обычный 10 3 5 7 3 2" xfId="1659" xr:uid="{00000000-0005-0000-0000-000079060000}"/>
    <cellStyle name="Обычный 10 3 5 7 4" xfId="1660" xr:uid="{00000000-0005-0000-0000-00007A060000}"/>
    <cellStyle name="Обычный 10 3 5 8" xfId="1661" xr:uid="{00000000-0005-0000-0000-00007B060000}"/>
    <cellStyle name="Обычный 10 3 5 8 2" xfId="1662" xr:uid="{00000000-0005-0000-0000-00007C060000}"/>
    <cellStyle name="Обычный 10 3 5 8 2 2" xfId="1663" xr:uid="{00000000-0005-0000-0000-00007D060000}"/>
    <cellStyle name="Обычный 10 3 5 8 3" xfId="1664" xr:uid="{00000000-0005-0000-0000-00007E060000}"/>
    <cellStyle name="Обычный 10 3 5 9" xfId="1665" xr:uid="{00000000-0005-0000-0000-00007F060000}"/>
    <cellStyle name="Обычный 10 3 5 9 2" xfId="1666" xr:uid="{00000000-0005-0000-0000-000080060000}"/>
    <cellStyle name="Обычный 10 3 6" xfId="1667" xr:uid="{00000000-0005-0000-0000-000081060000}"/>
    <cellStyle name="Обычный 10 3 6 2" xfId="1668" xr:uid="{00000000-0005-0000-0000-000082060000}"/>
    <cellStyle name="Обычный 10 3 6 2 2" xfId="1669" xr:uid="{00000000-0005-0000-0000-000083060000}"/>
    <cellStyle name="Обычный 10 3 6 2 2 2" xfId="1670" xr:uid="{00000000-0005-0000-0000-000084060000}"/>
    <cellStyle name="Обычный 10 3 6 2 2 2 2" xfId="1671" xr:uid="{00000000-0005-0000-0000-000085060000}"/>
    <cellStyle name="Обычный 10 3 6 2 2 2 2 2" xfId="1672" xr:uid="{00000000-0005-0000-0000-000086060000}"/>
    <cellStyle name="Обычный 10 3 6 2 2 2 3" xfId="1673" xr:uid="{00000000-0005-0000-0000-000087060000}"/>
    <cellStyle name="Обычный 10 3 6 2 2 3" xfId="1674" xr:uid="{00000000-0005-0000-0000-000088060000}"/>
    <cellStyle name="Обычный 10 3 6 2 2 3 2" xfId="1675" xr:uid="{00000000-0005-0000-0000-000089060000}"/>
    <cellStyle name="Обычный 10 3 6 2 2 4" xfId="1676" xr:uid="{00000000-0005-0000-0000-00008A060000}"/>
    <cellStyle name="Обычный 10 3 6 2 3" xfId="1677" xr:uid="{00000000-0005-0000-0000-00008B060000}"/>
    <cellStyle name="Обычный 10 3 6 2 3 2" xfId="1678" xr:uid="{00000000-0005-0000-0000-00008C060000}"/>
    <cellStyle name="Обычный 10 3 6 2 3 2 2" xfId="1679" xr:uid="{00000000-0005-0000-0000-00008D060000}"/>
    <cellStyle name="Обычный 10 3 6 2 3 3" xfId="1680" xr:uid="{00000000-0005-0000-0000-00008E060000}"/>
    <cellStyle name="Обычный 10 3 6 2 4" xfId="1681" xr:uid="{00000000-0005-0000-0000-00008F060000}"/>
    <cellStyle name="Обычный 10 3 6 2 4 2" xfId="1682" xr:uid="{00000000-0005-0000-0000-000090060000}"/>
    <cellStyle name="Обычный 10 3 6 2 5" xfId="1683" xr:uid="{00000000-0005-0000-0000-000091060000}"/>
    <cellStyle name="Обычный 10 3 6 3" xfId="1684" xr:uid="{00000000-0005-0000-0000-000092060000}"/>
    <cellStyle name="Обычный 10 3 6 3 2" xfId="1685" xr:uid="{00000000-0005-0000-0000-000093060000}"/>
    <cellStyle name="Обычный 10 3 6 3 2 2" xfId="1686" xr:uid="{00000000-0005-0000-0000-000094060000}"/>
    <cellStyle name="Обычный 10 3 6 3 2 2 2" xfId="1687" xr:uid="{00000000-0005-0000-0000-000095060000}"/>
    <cellStyle name="Обычный 10 3 6 3 2 2 2 2" xfId="1688" xr:uid="{00000000-0005-0000-0000-000096060000}"/>
    <cellStyle name="Обычный 10 3 6 3 2 2 3" xfId="1689" xr:uid="{00000000-0005-0000-0000-000097060000}"/>
    <cellStyle name="Обычный 10 3 6 3 2 3" xfId="1690" xr:uid="{00000000-0005-0000-0000-000098060000}"/>
    <cellStyle name="Обычный 10 3 6 3 2 3 2" xfId="1691" xr:uid="{00000000-0005-0000-0000-000099060000}"/>
    <cellStyle name="Обычный 10 3 6 3 2 4" xfId="1692" xr:uid="{00000000-0005-0000-0000-00009A060000}"/>
    <cellStyle name="Обычный 10 3 6 3 3" xfId="1693" xr:uid="{00000000-0005-0000-0000-00009B060000}"/>
    <cellStyle name="Обычный 10 3 6 3 3 2" xfId="1694" xr:uid="{00000000-0005-0000-0000-00009C060000}"/>
    <cellStyle name="Обычный 10 3 6 3 3 2 2" xfId="1695" xr:uid="{00000000-0005-0000-0000-00009D060000}"/>
    <cellStyle name="Обычный 10 3 6 3 3 3" xfId="1696" xr:uid="{00000000-0005-0000-0000-00009E060000}"/>
    <cellStyle name="Обычный 10 3 6 3 4" xfId="1697" xr:uid="{00000000-0005-0000-0000-00009F060000}"/>
    <cellStyle name="Обычный 10 3 6 3 4 2" xfId="1698" xr:uid="{00000000-0005-0000-0000-0000A0060000}"/>
    <cellStyle name="Обычный 10 3 6 3 5" xfId="1699" xr:uid="{00000000-0005-0000-0000-0000A1060000}"/>
    <cellStyle name="Обычный 10 3 6 4" xfId="1700" xr:uid="{00000000-0005-0000-0000-0000A2060000}"/>
    <cellStyle name="Обычный 10 3 6 4 2" xfId="1701" xr:uid="{00000000-0005-0000-0000-0000A3060000}"/>
    <cellStyle name="Обычный 10 3 6 4 2 2" xfId="1702" xr:uid="{00000000-0005-0000-0000-0000A4060000}"/>
    <cellStyle name="Обычный 10 3 6 4 2 2 2" xfId="1703" xr:uid="{00000000-0005-0000-0000-0000A5060000}"/>
    <cellStyle name="Обычный 10 3 6 4 2 2 2 2" xfId="1704" xr:uid="{00000000-0005-0000-0000-0000A6060000}"/>
    <cellStyle name="Обычный 10 3 6 4 2 2 3" xfId="1705" xr:uid="{00000000-0005-0000-0000-0000A7060000}"/>
    <cellStyle name="Обычный 10 3 6 4 2 3" xfId="1706" xr:uid="{00000000-0005-0000-0000-0000A8060000}"/>
    <cellStyle name="Обычный 10 3 6 4 2 3 2" xfId="1707" xr:uid="{00000000-0005-0000-0000-0000A9060000}"/>
    <cellStyle name="Обычный 10 3 6 4 2 4" xfId="1708" xr:uid="{00000000-0005-0000-0000-0000AA060000}"/>
    <cellStyle name="Обычный 10 3 6 4 3" xfId="1709" xr:uid="{00000000-0005-0000-0000-0000AB060000}"/>
    <cellStyle name="Обычный 10 3 6 4 3 2" xfId="1710" xr:uid="{00000000-0005-0000-0000-0000AC060000}"/>
    <cellStyle name="Обычный 10 3 6 4 3 2 2" xfId="1711" xr:uid="{00000000-0005-0000-0000-0000AD060000}"/>
    <cellStyle name="Обычный 10 3 6 4 3 3" xfId="1712" xr:uid="{00000000-0005-0000-0000-0000AE060000}"/>
    <cellStyle name="Обычный 10 3 6 4 4" xfId="1713" xr:uid="{00000000-0005-0000-0000-0000AF060000}"/>
    <cellStyle name="Обычный 10 3 6 4 4 2" xfId="1714" xr:uid="{00000000-0005-0000-0000-0000B0060000}"/>
    <cellStyle name="Обычный 10 3 6 4 5" xfId="1715" xr:uid="{00000000-0005-0000-0000-0000B1060000}"/>
    <cellStyle name="Обычный 10 3 6 5" xfId="1716" xr:uid="{00000000-0005-0000-0000-0000B2060000}"/>
    <cellStyle name="Обычный 10 3 6 5 2" xfId="1717" xr:uid="{00000000-0005-0000-0000-0000B3060000}"/>
    <cellStyle name="Обычный 10 3 6 5 2 2" xfId="1718" xr:uid="{00000000-0005-0000-0000-0000B4060000}"/>
    <cellStyle name="Обычный 10 3 6 5 2 2 2" xfId="1719" xr:uid="{00000000-0005-0000-0000-0000B5060000}"/>
    <cellStyle name="Обычный 10 3 6 5 2 3" xfId="1720" xr:uid="{00000000-0005-0000-0000-0000B6060000}"/>
    <cellStyle name="Обычный 10 3 6 5 3" xfId="1721" xr:uid="{00000000-0005-0000-0000-0000B7060000}"/>
    <cellStyle name="Обычный 10 3 6 5 3 2" xfId="1722" xr:uid="{00000000-0005-0000-0000-0000B8060000}"/>
    <cellStyle name="Обычный 10 3 6 5 4" xfId="1723" xr:uid="{00000000-0005-0000-0000-0000B9060000}"/>
    <cellStyle name="Обычный 10 3 6 6" xfId="1724" xr:uid="{00000000-0005-0000-0000-0000BA060000}"/>
    <cellStyle name="Обычный 10 3 6 6 2" xfId="1725" xr:uid="{00000000-0005-0000-0000-0000BB060000}"/>
    <cellStyle name="Обычный 10 3 6 6 2 2" xfId="1726" xr:uid="{00000000-0005-0000-0000-0000BC060000}"/>
    <cellStyle name="Обычный 10 3 6 6 3" xfId="1727" xr:uid="{00000000-0005-0000-0000-0000BD060000}"/>
    <cellStyle name="Обычный 10 3 6 7" xfId="1728" xr:uid="{00000000-0005-0000-0000-0000BE060000}"/>
    <cellStyle name="Обычный 10 3 6 7 2" xfId="1729" xr:uid="{00000000-0005-0000-0000-0000BF060000}"/>
    <cellStyle name="Обычный 10 3 6 8" xfId="1730" xr:uid="{00000000-0005-0000-0000-0000C0060000}"/>
    <cellStyle name="Обычный 10 3 7" xfId="1731" xr:uid="{00000000-0005-0000-0000-0000C1060000}"/>
    <cellStyle name="Обычный 10 3 7 2" xfId="1732" xr:uid="{00000000-0005-0000-0000-0000C2060000}"/>
    <cellStyle name="Обычный 10 3 7 2 2" xfId="1733" xr:uid="{00000000-0005-0000-0000-0000C3060000}"/>
    <cellStyle name="Обычный 10 3 7 2 2 2" xfId="1734" xr:uid="{00000000-0005-0000-0000-0000C4060000}"/>
    <cellStyle name="Обычный 10 3 7 2 2 2 2" xfId="1735" xr:uid="{00000000-0005-0000-0000-0000C5060000}"/>
    <cellStyle name="Обычный 10 3 7 2 2 2 2 2" xfId="1736" xr:uid="{00000000-0005-0000-0000-0000C6060000}"/>
    <cellStyle name="Обычный 10 3 7 2 2 2 3" xfId="1737" xr:uid="{00000000-0005-0000-0000-0000C7060000}"/>
    <cellStyle name="Обычный 10 3 7 2 2 3" xfId="1738" xr:uid="{00000000-0005-0000-0000-0000C8060000}"/>
    <cellStyle name="Обычный 10 3 7 2 2 3 2" xfId="1739" xr:uid="{00000000-0005-0000-0000-0000C9060000}"/>
    <cellStyle name="Обычный 10 3 7 2 2 4" xfId="1740" xr:uid="{00000000-0005-0000-0000-0000CA060000}"/>
    <cellStyle name="Обычный 10 3 7 2 3" xfId="1741" xr:uid="{00000000-0005-0000-0000-0000CB060000}"/>
    <cellStyle name="Обычный 10 3 7 2 3 2" xfId="1742" xr:uid="{00000000-0005-0000-0000-0000CC060000}"/>
    <cellStyle name="Обычный 10 3 7 2 3 2 2" xfId="1743" xr:uid="{00000000-0005-0000-0000-0000CD060000}"/>
    <cellStyle name="Обычный 10 3 7 2 3 3" xfId="1744" xr:uid="{00000000-0005-0000-0000-0000CE060000}"/>
    <cellStyle name="Обычный 10 3 7 2 4" xfId="1745" xr:uid="{00000000-0005-0000-0000-0000CF060000}"/>
    <cellStyle name="Обычный 10 3 7 2 4 2" xfId="1746" xr:uid="{00000000-0005-0000-0000-0000D0060000}"/>
    <cellStyle name="Обычный 10 3 7 2 5" xfId="1747" xr:uid="{00000000-0005-0000-0000-0000D1060000}"/>
    <cellStyle name="Обычный 10 3 7 3" xfId="1748" xr:uid="{00000000-0005-0000-0000-0000D2060000}"/>
    <cellStyle name="Обычный 10 3 7 3 2" xfId="1749" xr:uid="{00000000-0005-0000-0000-0000D3060000}"/>
    <cellStyle name="Обычный 10 3 7 3 2 2" xfId="1750" xr:uid="{00000000-0005-0000-0000-0000D4060000}"/>
    <cellStyle name="Обычный 10 3 7 3 2 2 2" xfId="1751" xr:uid="{00000000-0005-0000-0000-0000D5060000}"/>
    <cellStyle name="Обычный 10 3 7 3 2 2 2 2" xfId="1752" xr:uid="{00000000-0005-0000-0000-0000D6060000}"/>
    <cellStyle name="Обычный 10 3 7 3 2 2 3" xfId="1753" xr:uid="{00000000-0005-0000-0000-0000D7060000}"/>
    <cellStyle name="Обычный 10 3 7 3 2 3" xfId="1754" xr:uid="{00000000-0005-0000-0000-0000D8060000}"/>
    <cellStyle name="Обычный 10 3 7 3 2 3 2" xfId="1755" xr:uid="{00000000-0005-0000-0000-0000D9060000}"/>
    <cellStyle name="Обычный 10 3 7 3 2 4" xfId="1756" xr:uid="{00000000-0005-0000-0000-0000DA060000}"/>
    <cellStyle name="Обычный 10 3 7 3 3" xfId="1757" xr:uid="{00000000-0005-0000-0000-0000DB060000}"/>
    <cellStyle name="Обычный 10 3 7 3 3 2" xfId="1758" xr:uid="{00000000-0005-0000-0000-0000DC060000}"/>
    <cellStyle name="Обычный 10 3 7 3 3 2 2" xfId="1759" xr:uid="{00000000-0005-0000-0000-0000DD060000}"/>
    <cellStyle name="Обычный 10 3 7 3 3 3" xfId="1760" xr:uid="{00000000-0005-0000-0000-0000DE060000}"/>
    <cellStyle name="Обычный 10 3 7 3 4" xfId="1761" xr:uid="{00000000-0005-0000-0000-0000DF060000}"/>
    <cellStyle name="Обычный 10 3 7 3 4 2" xfId="1762" xr:uid="{00000000-0005-0000-0000-0000E0060000}"/>
    <cellStyle name="Обычный 10 3 7 3 5" xfId="1763" xr:uid="{00000000-0005-0000-0000-0000E1060000}"/>
    <cellStyle name="Обычный 10 3 7 4" xfId="1764" xr:uid="{00000000-0005-0000-0000-0000E2060000}"/>
    <cellStyle name="Обычный 10 3 7 4 2" xfId="1765" xr:uid="{00000000-0005-0000-0000-0000E3060000}"/>
    <cellStyle name="Обычный 10 3 7 4 2 2" xfId="1766" xr:uid="{00000000-0005-0000-0000-0000E4060000}"/>
    <cellStyle name="Обычный 10 3 7 4 2 2 2" xfId="1767" xr:uid="{00000000-0005-0000-0000-0000E5060000}"/>
    <cellStyle name="Обычный 10 3 7 4 2 2 2 2" xfId="1768" xr:uid="{00000000-0005-0000-0000-0000E6060000}"/>
    <cellStyle name="Обычный 10 3 7 4 2 2 3" xfId="1769" xr:uid="{00000000-0005-0000-0000-0000E7060000}"/>
    <cellStyle name="Обычный 10 3 7 4 2 3" xfId="1770" xr:uid="{00000000-0005-0000-0000-0000E8060000}"/>
    <cellStyle name="Обычный 10 3 7 4 2 3 2" xfId="1771" xr:uid="{00000000-0005-0000-0000-0000E9060000}"/>
    <cellStyle name="Обычный 10 3 7 4 2 4" xfId="1772" xr:uid="{00000000-0005-0000-0000-0000EA060000}"/>
    <cellStyle name="Обычный 10 3 7 4 3" xfId="1773" xr:uid="{00000000-0005-0000-0000-0000EB060000}"/>
    <cellStyle name="Обычный 10 3 7 4 3 2" xfId="1774" xr:uid="{00000000-0005-0000-0000-0000EC060000}"/>
    <cellStyle name="Обычный 10 3 7 4 3 2 2" xfId="1775" xr:uid="{00000000-0005-0000-0000-0000ED060000}"/>
    <cellStyle name="Обычный 10 3 7 4 3 3" xfId="1776" xr:uid="{00000000-0005-0000-0000-0000EE060000}"/>
    <cellStyle name="Обычный 10 3 7 4 4" xfId="1777" xr:uid="{00000000-0005-0000-0000-0000EF060000}"/>
    <cellStyle name="Обычный 10 3 7 4 4 2" xfId="1778" xr:uid="{00000000-0005-0000-0000-0000F0060000}"/>
    <cellStyle name="Обычный 10 3 7 4 5" xfId="1779" xr:uid="{00000000-0005-0000-0000-0000F1060000}"/>
    <cellStyle name="Обычный 10 3 7 5" xfId="1780" xr:uid="{00000000-0005-0000-0000-0000F2060000}"/>
    <cellStyle name="Обычный 10 3 7 5 2" xfId="1781" xr:uid="{00000000-0005-0000-0000-0000F3060000}"/>
    <cellStyle name="Обычный 10 3 7 5 2 2" xfId="1782" xr:uid="{00000000-0005-0000-0000-0000F4060000}"/>
    <cellStyle name="Обычный 10 3 7 5 2 2 2" xfId="1783" xr:uid="{00000000-0005-0000-0000-0000F5060000}"/>
    <cellStyle name="Обычный 10 3 7 5 2 3" xfId="1784" xr:uid="{00000000-0005-0000-0000-0000F6060000}"/>
    <cellStyle name="Обычный 10 3 7 5 3" xfId="1785" xr:uid="{00000000-0005-0000-0000-0000F7060000}"/>
    <cellStyle name="Обычный 10 3 7 5 3 2" xfId="1786" xr:uid="{00000000-0005-0000-0000-0000F8060000}"/>
    <cellStyle name="Обычный 10 3 7 5 4" xfId="1787" xr:uid="{00000000-0005-0000-0000-0000F9060000}"/>
    <cellStyle name="Обычный 10 3 7 6" xfId="1788" xr:uid="{00000000-0005-0000-0000-0000FA060000}"/>
    <cellStyle name="Обычный 10 3 7 6 2" xfId="1789" xr:uid="{00000000-0005-0000-0000-0000FB060000}"/>
    <cellStyle name="Обычный 10 3 7 6 2 2" xfId="1790" xr:uid="{00000000-0005-0000-0000-0000FC060000}"/>
    <cellStyle name="Обычный 10 3 7 6 3" xfId="1791" xr:uid="{00000000-0005-0000-0000-0000FD060000}"/>
    <cellStyle name="Обычный 10 3 7 7" xfId="1792" xr:uid="{00000000-0005-0000-0000-0000FE060000}"/>
    <cellStyle name="Обычный 10 3 7 7 2" xfId="1793" xr:uid="{00000000-0005-0000-0000-0000FF060000}"/>
    <cellStyle name="Обычный 10 3 7 8" xfId="1794" xr:uid="{00000000-0005-0000-0000-000000070000}"/>
    <cellStyle name="Обычный 10 3 8" xfId="1795" xr:uid="{00000000-0005-0000-0000-000001070000}"/>
    <cellStyle name="Обычный 10 3 8 2" xfId="1796" xr:uid="{00000000-0005-0000-0000-000002070000}"/>
    <cellStyle name="Обычный 10 3 8 2 2" xfId="1797" xr:uid="{00000000-0005-0000-0000-000003070000}"/>
    <cellStyle name="Обычный 10 3 8 2 2 2" xfId="1798" xr:uid="{00000000-0005-0000-0000-000004070000}"/>
    <cellStyle name="Обычный 10 3 8 2 2 2 2" xfId="1799" xr:uid="{00000000-0005-0000-0000-000005070000}"/>
    <cellStyle name="Обычный 10 3 8 2 2 3" xfId="1800" xr:uid="{00000000-0005-0000-0000-000006070000}"/>
    <cellStyle name="Обычный 10 3 8 2 3" xfId="1801" xr:uid="{00000000-0005-0000-0000-000007070000}"/>
    <cellStyle name="Обычный 10 3 8 2 3 2" xfId="1802" xr:uid="{00000000-0005-0000-0000-000008070000}"/>
    <cellStyle name="Обычный 10 3 8 2 4" xfId="1803" xr:uid="{00000000-0005-0000-0000-000009070000}"/>
    <cellStyle name="Обычный 10 3 8 3" xfId="1804" xr:uid="{00000000-0005-0000-0000-00000A070000}"/>
    <cellStyle name="Обычный 10 3 8 3 2" xfId="1805" xr:uid="{00000000-0005-0000-0000-00000B070000}"/>
    <cellStyle name="Обычный 10 3 8 3 2 2" xfId="1806" xr:uid="{00000000-0005-0000-0000-00000C070000}"/>
    <cellStyle name="Обычный 10 3 8 3 3" xfId="1807" xr:uid="{00000000-0005-0000-0000-00000D070000}"/>
    <cellStyle name="Обычный 10 3 8 4" xfId="1808" xr:uid="{00000000-0005-0000-0000-00000E070000}"/>
    <cellStyle name="Обычный 10 3 8 4 2" xfId="1809" xr:uid="{00000000-0005-0000-0000-00000F070000}"/>
    <cellStyle name="Обычный 10 3 8 5" xfId="1810" xr:uid="{00000000-0005-0000-0000-000010070000}"/>
    <cellStyle name="Обычный 10 3 9" xfId="1811" xr:uid="{00000000-0005-0000-0000-000011070000}"/>
    <cellStyle name="Обычный 10 3 9 2" xfId="1812" xr:uid="{00000000-0005-0000-0000-000012070000}"/>
    <cellStyle name="Обычный 10 3 9 2 2" xfId="1813" xr:uid="{00000000-0005-0000-0000-000013070000}"/>
    <cellStyle name="Обычный 10 3 9 2 2 2" xfId="1814" xr:uid="{00000000-0005-0000-0000-000014070000}"/>
    <cellStyle name="Обычный 10 3 9 2 2 2 2" xfId="1815" xr:uid="{00000000-0005-0000-0000-000015070000}"/>
    <cellStyle name="Обычный 10 3 9 2 2 3" xfId="1816" xr:uid="{00000000-0005-0000-0000-000016070000}"/>
    <cellStyle name="Обычный 10 3 9 2 3" xfId="1817" xr:uid="{00000000-0005-0000-0000-000017070000}"/>
    <cellStyle name="Обычный 10 3 9 2 3 2" xfId="1818" xr:uid="{00000000-0005-0000-0000-000018070000}"/>
    <cellStyle name="Обычный 10 3 9 2 4" xfId="1819" xr:uid="{00000000-0005-0000-0000-000019070000}"/>
    <cellStyle name="Обычный 10 3 9 3" xfId="1820" xr:uid="{00000000-0005-0000-0000-00001A070000}"/>
    <cellStyle name="Обычный 10 3 9 3 2" xfId="1821" xr:uid="{00000000-0005-0000-0000-00001B070000}"/>
    <cellStyle name="Обычный 10 3 9 3 2 2" xfId="1822" xr:uid="{00000000-0005-0000-0000-00001C070000}"/>
    <cellStyle name="Обычный 10 3 9 3 3" xfId="1823" xr:uid="{00000000-0005-0000-0000-00001D070000}"/>
    <cellStyle name="Обычный 10 3 9 4" xfId="1824" xr:uid="{00000000-0005-0000-0000-00001E070000}"/>
    <cellStyle name="Обычный 10 3 9 4 2" xfId="1825" xr:uid="{00000000-0005-0000-0000-00001F070000}"/>
    <cellStyle name="Обычный 10 3 9 5" xfId="1826" xr:uid="{00000000-0005-0000-0000-000020070000}"/>
    <cellStyle name="Обычный 10 4" xfId="1827" xr:uid="{00000000-0005-0000-0000-000021070000}"/>
    <cellStyle name="Обычный 10 4 2" xfId="1828" xr:uid="{00000000-0005-0000-0000-000022070000}"/>
    <cellStyle name="Обычный 10 5" xfId="1829" xr:uid="{00000000-0005-0000-0000-000023070000}"/>
    <cellStyle name="Обычный 10 5 10" xfId="1830" xr:uid="{00000000-0005-0000-0000-000024070000}"/>
    <cellStyle name="Обычный 10 5 2" xfId="1831" xr:uid="{00000000-0005-0000-0000-000025070000}"/>
    <cellStyle name="Обычный 10 5 2 2" xfId="1832" xr:uid="{00000000-0005-0000-0000-000026070000}"/>
    <cellStyle name="Обычный 10 5 2 2 2" xfId="1833" xr:uid="{00000000-0005-0000-0000-000027070000}"/>
    <cellStyle name="Обычный 10 5 2 2 2 2" xfId="1834" xr:uid="{00000000-0005-0000-0000-000028070000}"/>
    <cellStyle name="Обычный 10 5 2 2 2 2 2" xfId="1835" xr:uid="{00000000-0005-0000-0000-000029070000}"/>
    <cellStyle name="Обычный 10 5 2 2 2 2 2 2" xfId="1836" xr:uid="{00000000-0005-0000-0000-00002A070000}"/>
    <cellStyle name="Обычный 10 5 2 2 2 2 3" xfId="1837" xr:uid="{00000000-0005-0000-0000-00002B070000}"/>
    <cellStyle name="Обычный 10 5 2 2 2 3" xfId="1838" xr:uid="{00000000-0005-0000-0000-00002C070000}"/>
    <cellStyle name="Обычный 10 5 2 2 2 3 2" xfId="1839" xr:uid="{00000000-0005-0000-0000-00002D070000}"/>
    <cellStyle name="Обычный 10 5 2 2 2 4" xfId="1840" xr:uid="{00000000-0005-0000-0000-00002E070000}"/>
    <cellStyle name="Обычный 10 5 2 2 3" xfId="1841" xr:uid="{00000000-0005-0000-0000-00002F070000}"/>
    <cellStyle name="Обычный 10 5 2 2 3 2" xfId="1842" xr:uid="{00000000-0005-0000-0000-000030070000}"/>
    <cellStyle name="Обычный 10 5 2 2 3 2 2" xfId="1843" xr:uid="{00000000-0005-0000-0000-000031070000}"/>
    <cellStyle name="Обычный 10 5 2 2 3 3" xfId="1844" xr:uid="{00000000-0005-0000-0000-000032070000}"/>
    <cellStyle name="Обычный 10 5 2 2 4" xfId="1845" xr:uid="{00000000-0005-0000-0000-000033070000}"/>
    <cellStyle name="Обычный 10 5 2 2 4 2" xfId="1846" xr:uid="{00000000-0005-0000-0000-000034070000}"/>
    <cellStyle name="Обычный 10 5 2 2 5" xfId="1847" xr:uid="{00000000-0005-0000-0000-000035070000}"/>
    <cellStyle name="Обычный 10 5 2 3" xfId="1848" xr:uid="{00000000-0005-0000-0000-000036070000}"/>
    <cellStyle name="Обычный 10 5 2 3 2" xfId="1849" xr:uid="{00000000-0005-0000-0000-000037070000}"/>
    <cellStyle name="Обычный 10 5 2 3 2 2" xfId="1850" xr:uid="{00000000-0005-0000-0000-000038070000}"/>
    <cellStyle name="Обычный 10 5 2 3 2 2 2" xfId="1851" xr:uid="{00000000-0005-0000-0000-000039070000}"/>
    <cellStyle name="Обычный 10 5 2 3 2 2 2 2" xfId="1852" xr:uid="{00000000-0005-0000-0000-00003A070000}"/>
    <cellStyle name="Обычный 10 5 2 3 2 2 3" xfId="1853" xr:uid="{00000000-0005-0000-0000-00003B070000}"/>
    <cellStyle name="Обычный 10 5 2 3 2 3" xfId="1854" xr:uid="{00000000-0005-0000-0000-00003C070000}"/>
    <cellStyle name="Обычный 10 5 2 3 2 3 2" xfId="1855" xr:uid="{00000000-0005-0000-0000-00003D070000}"/>
    <cellStyle name="Обычный 10 5 2 3 2 4" xfId="1856" xr:uid="{00000000-0005-0000-0000-00003E070000}"/>
    <cellStyle name="Обычный 10 5 2 3 3" xfId="1857" xr:uid="{00000000-0005-0000-0000-00003F070000}"/>
    <cellStyle name="Обычный 10 5 2 3 3 2" xfId="1858" xr:uid="{00000000-0005-0000-0000-000040070000}"/>
    <cellStyle name="Обычный 10 5 2 3 3 2 2" xfId="1859" xr:uid="{00000000-0005-0000-0000-000041070000}"/>
    <cellStyle name="Обычный 10 5 2 3 3 3" xfId="1860" xr:uid="{00000000-0005-0000-0000-000042070000}"/>
    <cellStyle name="Обычный 10 5 2 3 4" xfId="1861" xr:uid="{00000000-0005-0000-0000-000043070000}"/>
    <cellStyle name="Обычный 10 5 2 3 4 2" xfId="1862" xr:uid="{00000000-0005-0000-0000-000044070000}"/>
    <cellStyle name="Обычный 10 5 2 3 5" xfId="1863" xr:uid="{00000000-0005-0000-0000-000045070000}"/>
    <cellStyle name="Обычный 10 5 2 4" xfId="1864" xr:uid="{00000000-0005-0000-0000-000046070000}"/>
    <cellStyle name="Обычный 10 5 2 4 2" xfId="1865" xr:uid="{00000000-0005-0000-0000-000047070000}"/>
    <cellStyle name="Обычный 10 5 2 4 2 2" xfId="1866" xr:uid="{00000000-0005-0000-0000-000048070000}"/>
    <cellStyle name="Обычный 10 5 2 4 2 2 2" xfId="1867" xr:uid="{00000000-0005-0000-0000-000049070000}"/>
    <cellStyle name="Обычный 10 5 2 4 2 2 2 2" xfId="1868" xr:uid="{00000000-0005-0000-0000-00004A070000}"/>
    <cellStyle name="Обычный 10 5 2 4 2 2 3" xfId="1869" xr:uid="{00000000-0005-0000-0000-00004B070000}"/>
    <cellStyle name="Обычный 10 5 2 4 2 3" xfId="1870" xr:uid="{00000000-0005-0000-0000-00004C070000}"/>
    <cellStyle name="Обычный 10 5 2 4 2 3 2" xfId="1871" xr:uid="{00000000-0005-0000-0000-00004D070000}"/>
    <cellStyle name="Обычный 10 5 2 4 2 4" xfId="1872" xr:uid="{00000000-0005-0000-0000-00004E070000}"/>
    <cellStyle name="Обычный 10 5 2 4 3" xfId="1873" xr:uid="{00000000-0005-0000-0000-00004F070000}"/>
    <cellStyle name="Обычный 10 5 2 4 3 2" xfId="1874" xr:uid="{00000000-0005-0000-0000-000050070000}"/>
    <cellStyle name="Обычный 10 5 2 4 3 2 2" xfId="1875" xr:uid="{00000000-0005-0000-0000-000051070000}"/>
    <cellStyle name="Обычный 10 5 2 4 3 3" xfId="1876" xr:uid="{00000000-0005-0000-0000-000052070000}"/>
    <cellStyle name="Обычный 10 5 2 4 4" xfId="1877" xr:uid="{00000000-0005-0000-0000-000053070000}"/>
    <cellStyle name="Обычный 10 5 2 4 4 2" xfId="1878" xr:uid="{00000000-0005-0000-0000-000054070000}"/>
    <cellStyle name="Обычный 10 5 2 4 5" xfId="1879" xr:uid="{00000000-0005-0000-0000-000055070000}"/>
    <cellStyle name="Обычный 10 5 2 5" xfId="1880" xr:uid="{00000000-0005-0000-0000-000056070000}"/>
    <cellStyle name="Обычный 10 5 2 5 2" xfId="1881" xr:uid="{00000000-0005-0000-0000-000057070000}"/>
    <cellStyle name="Обычный 10 5 2 5 2 2" xfId="1882" xr:uid="{00000000-0005-0000-0000-000058070000}"/>
    <cellStyle name="Обычный 10 5 2 5 2 2 2" xfId="1883" xr:uid="{00000000-0005-0000-0000-000059070000}"/>
    <cellStyle name="Обычный 10 5 2 5 2 3" xfId="1884" xr:uid="{00000000-0005-0000-0000-00005A070000}"/>
    <cellStyle name="Обычный 10 5 2 5 3" xfId="1885" xr:uid="{00000000-0005-0000-0000-00005B070000}"/>
    <cellStyle name="Обычный 10 5 2 5 3 2" xfId="1886" xr:uid="{00000000-0005-0000-0000-00005C070000}"/>
    <cellStyle name="Обычный 10 5 2 5 4" xfId="1887" xr:uid="{00000000-0005-0000-0000-00005D070000}"/>
    <cellStyle name="Обычный 10 5 2 6" xfId="1888" xr:uid="{00000000-0005-0000-0000-00005E070000}"/>
    <cellStyle name="Обычный 10 5 2 6 2" xfId="1889" xr:uid="{00000000-0005-0000-0000-00005F070000}"/>
    <cellStyle name="Обычный 10 5 2 6 2 2" xfId="1890" xr:uid="{00000000-0005-0000-0000-000060070000}"/>
    <cellStyle name="Обычный 10 5 2 6 3" xfId="1891" xr:uid="{00000000-0005-0000-0000-000061070000}"/>
    <cellStyle name="Обычный 10 5 2 7" xfId="1892" xr:uid="{00000000-0005-0000-0000-000062070000}"/>
    <cellStyle name="Обычный 10 5 2 7 2" xfId="1893" xr:uid="{00000000-0005-0000-0000-000063070000}"/>
    <cellStyle name="Обычный 10 5 2 8" xfId="1894" xr:uid="{00000000-0005-0000-0000-000064070000}"/>
    <cellStyle name="Обычный 10 5 3" xfId="1895" xr:uid="{00000000-0005-0000-0000-000065070000}"/>
    <cellStyle name="Обычный 10 5 3 2" xfId="1896" xr:uid="{00000000-0005-0000-0000-000066070000}"/>
    <cellStyle name="Обычный 10 5 3 2 2" xfId="1897" xr:uid="{00000000-0005-0000-0000-000067070000}"/>
    <cellStyle name="Обычный 10 5 3 2 2 2" xfId="1898" xr:uid="{00000000-0005-0000-0000-000068070000}"/>
    <cellStyle name="Обычный 10 5 3 2 2 2 2" xfId="1899" xr:uid="{00000000-0005-0000-0000-000069070000}"/>
    <cellStyle name="Обычный 10 5 3 2 2 2 2 2" xfId="1900" xr:uid="{00000000-0005-0000-0000-00006A070000}"/>
    <cellStyle name="Обычный 10 5 3 2 2 2 3" xfId="1901" xr:uid="{00000000-0005-0000-0000-00006B070000}"/>
    <cellStyle name="Обычный 10 5 3 2 2 3" xfId="1902" xr:uid="{00000000-0005-0000-0000-00006C070000}"/>
    <cellStyle name="Обычный 10 5 3 2 2 3 2" xfId="1903" xr:uid="{00000000-0005-0000-0000-00006D070000}"/>
    <cellStyle name="Обычный 10 5 3 2 2 4" xfId="1904" xr:uid="{00000000-0005-0000-0000-00006E070000}"/>
    <cellStyle name="Обычный 10 5 3 2 3" xfId="1905" xr:uid="{00000000-0005-0000-0000-00006F070000}"/>
    <cellStyle name="Обычный 10 5 3 2 3 2" xfId="1906" xr:uid="{00000000-0005-0000-0000-000070070000}"/>
    <cellStyle name="Обычный 10 5 3 2 3 2 2" xfId="1907" xr:uid="{00000000-0005-0000-0000-000071070000}"/>
    <cellStyle name="Обычный 10 5 3 2 3 3" xfId="1908" xr:uid="{00000000-0005-0000-0000-000072070000}"/>
    <cellStyle name="Обычный 10 5 3 2 4" xfId="1909" xr:uid="{00000000-0005-0000-0000-000073070000}"/>
    <cellStyle name="Обычный 10 5 3 2 4 2" xfId="1910" xr:uid="{00000000-0005-0000-0000-000074070000}"/>
    <cellStyle name="Обычный 10 5 3 2 5" xfId="1911" xr:uid="{00000000-0005-0000-0000-000075070000}"/>
    <cellStyle name="Обычный 10 5 3 3" xfId="1912" xr:uid="{00000000-0005-0000-0000-000076070000}"/>
    <cellStyle name="Обычный 10 5 3 3 2" xfId="1913" xr:uid="{00000000-0005-0000-0000-000077070000}"/>
    <cellStyle name="Обычный 10 5 3 3 2 2" xfId="1914" xr:uid="{00000000-0005-0000-0000-000078070000}"/>
    <cellStyle name="Обычный 10 5 3 3 2 2 2" xfId="1915" xr:uid="{00000000-0005-0000-0000-000079070000}"/>
    <cellStyle name="Обычный 10 5 3 3 2 2 2 2" xfId="1916" xr:uid="{00000000-0005-0000-0000-00007A070000}"/>
    <cellStyle name="Обычный 10 5 3 3 2 2 3" xfId="1917" xr:uid="{00000000-0005-0000-0000-00007B070000}"/>
    <cellStyle name="Обычный 10 5 3 3 2 3" xfId="1918" xr:uid="{00000000-0005-0000-0000-00007C070000}"/>
    <cellStyle name="Обычный 10 5 3 3 2 3 2" xfId="1919" xr:uid="{00000000-0005-0000-0000-00007D070000}"/>
    <cellStyle name="Обычный 10 5 3 3 2 4" xfId="1920" xr:uid="{00000000-0005-0000-0000-00007E070000}"/>
    <cellStyle name="Обычный 10 5 3 3 3" xfId="1921" xr:uid="{00000000-0005-0000-0000-00007F070000}"/>
    <cellStyle name="Обычный 10 5 3 3 3 2" xfId="1922" xr:uid="{00000000-0005-0000-0000-000080070000}"/>
    <cellStyle name="Обычный 10 5 3 3 3 2 2" xfId="1923" xr:uid="{00000000-0005-0000-0000-000081070000}"/>
    <cellStyle name="Обычный 10 5 3 3 3 3" xfId="1924" xr:uid="{00000000-0005-0000-0000-000082070000}"/>
    <cellStyle name="Обычный 10 5 3 3 4" xfId="1925" xr:uid="{00000000-0005-0000-0000-000083070000}"/>
    <cellStyle name="Обычный 10 5 3 3 4 2" xfId="1926" xr:uid="{00000000-0005-0000-0000-000084070000}"/>
    <cellStyle name="Обычный 10 5 3 3 5" xfId="1927" xr:uid="{00000000-0005-0000-0000-000085070000}"/>
    <cellStyle name="Обычный 10 5 3 4" xfId="1928" xr:uid="{00000000-0005-0000-0000-000086070000}"/>
    <cellStyle name="Обычный 10 5 3 4 2" xfId="1929" xr:uid="{00000000-0005-0000-0000-000087070000}"/>
    <cellStyle name="Обычный 10 5 3 4 2 2" xfId="1930" xr:uid="{00000000-0005-0000-0000-000088070000}"/>
    <cellStyle name="Обычный 10 5 3 4 2 2 2" xfId="1931" xr:uid="{00000000-0005-0000-0000-000089070000}"/>
    <cellStyle name="Обычный 10 5 3 4 2 2 2 2" xfId="1932" xr:uid="{00000000-0005-0000-0000-00008A070000}"/>
    <cellStyle name="Обычный 10 5 3 4 2 2 3" xfId="1933" xr:uid="{00000000-0005-0000-0000-00008B070000}"/>
    <cellStyle name="Обычный 10 5 3 4 2 3" xfId="1934" xr:uid="{00000000-0005-0000-0000-00008C070000}"/>
    <cellStyle name="Обычный 10 5 3 4 2 3 2" xfId="1935" xr:uid="{00000000-0005-0000-0000-00008D070000}"/>
    <cellStyle name="Обычный 10 5 3 4 2 4" xfId="1936" xr:uid="{00000000-0005-0000-0000-00008E070000}"/>
    <cellStyle name="Обычный 10 5 3 4 3" xfId="1937" xr:uid="{00000000-0005-0000-0000-00008F070000}"/>
    <cellStyle name="Обычный 10 5 3 4 3 2" xfId="1938" xr:uid="{00000000-0005-0000-0000-000090070000}"/>
    <cellStyle name="Обычный 10 5 3 4 3 2 2" xfId="1939" xr:uid="{00000000-0005-0000-0000-000091070000}"/>
    <cellStyle name="Обычный 10 5 3 4 3 3" xfId="1940" xr:uid="{00000000-0005-0000-0000-000092070000}"/>
    <cellStyle name="Обычный 10 5 3 4 4" xfId="1941" xr:uid="{00000000-0005-0000-0000-000093070000}"/>
    <cellStyle name="Обычный 10 5 3 4 4 2" xfId="1942" xr:uid="{00000000-0005-0000-0000-000094070000}"/>
    <cellStyle name="Обычный 10 5 3 4 5" xfId="1943" xr:uid="{00000000-0005-0000-0000-000095070000}"/>
    <cellStyle name="Обычный 10 5 3 5" xfId="1944" xr:uid="{00000000-0005-0000-0000-000096070000}"/>
    <cellStyle name="Обычный 10 5 3 5 2" xfId="1945" xr:uid="{00000000-0005-0000-0000-000097070000}"/>
    <cellStyle name="Обычный 10 5 3 5 2 2" xfId="1946" xr:uid="{00000000-0005-0000-0000-000098070000}"/>
    <cellStyle name="Обычный 10 5 3 5 2 2 2" xfId="1947" xr:uid="{00000000-0005-0000-0000-000099070000}"/>
    <cellStyle name="Обычный 10 5 3 5 2 3" xfId="1948" xr:uid="{00000000-0005-0000-0000-00009A070000}"/>
    <cellStyle name="Обычный 10 5 3 5 3" xfId="1949" xr:uid="{00000000-0005-0000-0000-00009B070000}"/>
    <cellStyle name="Обычный 10 5 3 5 3 2" xfId="1950" xr:uid="{00000000-0005-0000-0000-00009C070000}"/>
    <cellStyle name="Обычный 10 5 3 5 4" xfId="1951" xr:uid="{00000000-0005-0000-0000-00009D070000}"/>
    <cellStyle name="Обычный 10 5 3 6" xfId="1952" xr:uid="{00000000-0005-0000-0000-00009E070000}"/>
    <cellStyle name="Обычный 10 5 3 6 2" xfId="1953" xr:uid="{00000000-0005-0000-0000-00009F070000}"/>
    <cellStyle name="Обычный 10 5 3 6 2 2" xfId="1954" xr:uid="{00000000-0005-0000-0000-0000A0070000}"/>
    <cellStyle name="Обычный 10 5 3 6 3" xfId="1955" xr:uid="{00000000-0005-0000-0000-0000A1070000}"/>
    <cellStyle name="Обычный 10 5 3 7" xfId="1956" xr:uid="{00000000-0005-0000-0000-0000A2070000}"/>
    <cellStyle name="Обычный 10 5 3 7 2" xfId="1957" xr:uid="{00000000-0005-0000-0000-0000A3070000}"/>
    <cellStyle name="Обычный 10 5 3 8" xfId="1958" xr:uid="{00000000-0005-0000-0000-0000A4070000}"/>
    <cellStyle name="Обычный 10 5 4" xfId="1959" xr:uid="{00000000-0005-0000-0000-0000A5070000}"/>
    <cellStyle name="Обычный 10 5 4 2" xfId="1960" xr:uid="{00000000-0005-0000-0000-0000A6070000}"/>
    <cellStyle name="Обычный 10 5 4 2 2" xfId="1961" xr:uid="{00000000-0005-0000-0000-0000A7070000}"/>
    <cellStyle name="Обычный 10 5 4 2 2 2" xfId="1962" xr:uid="{00000000-0005-0000-0000-0000A8070000}"/>
    <cellStyle name="Обычный 10 5 4 2 2 2 2" xfId="1963" xr:uid="{00000000-0005-0000-0000-0000A9070000}"/>
    <cellStyle name="Обычный 10 5 4 2 2 3" xfId="1964" xr:uid="{00000000-0005-0000-0000-0000AA070000}"/>
    <cellStyle name="Обычный 10 5 4 2 3" xfId="1965" xr:uid="{00000000-0005-0000-0000-0000AB070000}"/>
    <cellStyle name="Обычный 10 5 4 2 3 2" xfId="1966" xr:uid="{00000000-0005-0000-0000-0000AC070000}"/>
    <cellStyle name="Обычный 10 5 4 2 4" xfId="1967" xr:uid="{00000000-0005-0000-0000-0000AD070000}"/>
    <cellStyle name="Обычный 10 5 4 3" xfId="1968" xr:uid="{00000000-0005-0000-0000-0000AE070000}"/>
    <cellStyle name="Обычный 10 5 4 3 2" xfId="1969" xr:uid="{00000000-0005-0000-0000-0000AF070000}"/>
    <cellStyle name="Обычный 10 5 4 3 2 2" xfId="1970" xr:uid="{00000000-0005-0000-0000-0000B0070000}"/>
    <cellStyle name="Обычный 10 5 4 3 3" xfId="1971" xr:uid="{00000000-0005-0000-0000-0000B1070000}"/>
    <cellStyle name="Обычный 10 5 4 4" xfId="1972" xr:uid="{00000000-0005-0000-0000-0000B2070000}"/>
    <cellStyle name="Обычный 10 5 4 4 2" xfId="1973" xr:uid="{00000000-0005-0000-0000-0000B3070000}"/>
    <cellStyle name="Обычный 10 5 4 5" xfId="1974" xr:uid="{00000000-0005-0000-0000-0000B4070000}"/>
    <cellStyle name="Обычный 10 5 5" xfId="1975" xr:uid="{00000000-0005-0000-0000-0000B5070000}"/>
    <cellStyle name="Обычный 10 5 5 2" xfId="1976" xr:uid="{00000000-0005-0000-0000-0000B6070000}"/>
    <cellStyle name="Обычный 10 5 5 2 2" xfId="1977" xr:uid="{00000000-0005-0000-0000-0000B7070000}"/>
    <cellStyle name="Обычный 10 5 5 2 2 2" xfId="1978" xr:uid="{00000000-0005-0000-0000-0000B8070000}"/>
    <cellStyle name="Обычный 10 5 5 2 2 2 2" xfId="1979" xr:uid="{00000000-0005-0000-0000-0000B9070000}"/>
    <cellStyle name="Обычный 10 5 5 2 2 3" xfId="1980" xr:uid="{00000000-0005-0000-0000-0000BA070000}"/>
    <cellStyle name="Обычный 10 5 5 2 3" xfId="1981" xr:uid="{00000000-0005-0000-0000-0000BB070000}"/>
    <cellStyle name="Обычный 10 5 5 2 3 2" xfId="1982" xr:uid="{00000000-0005-0000-0000-0000BC070000}"/>
    <cellStyle name="Обычный 10 5 5 2 4" xfId="1983" xr:uid="{00000000-0005-0000-0000-0000BD070000}"/>
    <cellStyle name="Обычный 10 5 5 3" xfId="1984" xr:uid="{00000000-0005-0000-0000-0000BE070000}"/>
    <cellStyle name="Обычный 10 5 5 3 2" xfId="1985" xr:uid="{00000000-0005-0000-0000-0000BF070000}"/>
    <cellStyle name="Обычный 10 5 5 3 2 2" xfId="1986" xr:uid="{00000000-0005-0000-0000-0000C0070000}"/>
    <cellStyle name="Обычный 10 5 5 3 3" xfId="1987" xr:uid="{00000000-0005-0000-0000-0000C1070000}"/>
    <cellStyle name="Обычный 10 5 5 4" xfId="1988" xr:uid="{00000000-0005-0000-0000-0000C2070000}"/>
    <cellStyle name="Обычный 10 5 5 4 2" xfId="1989" xr:uid="{00000000-0005-0000-0000-0000C3070000}"/>
    <cellStyle name="Обычный 10 5 5 5" xfId="1990" xr:uid="{00000000-0005-0000-0000-0000C4070000}"/>
    <cellStyle name="Обычный 10 5 6" xfId="1991" xr:uid="{00000000-0005-0000-0000-0000C5070000}"/>
    <cellStyle name="Обычный 10 5 6 2" xfId="1992" xr:uid="{00000000-0005-0000-0000-0000C6070000}"/>
    <cellStyle name="Обычный 10 5 6 2 2" xfId="1993" xr:uid="{00000000-0005-0000-0000-0000C7070000}"/>
    <cellStyle name="Обычный 10 5 6 2 2 2" xfId="1994" xr:uid="{00000000-0005-0000-0000-0000C8070000}"/>
    <cellStyle name="Обычный 10 5 6 2 2 2 2" xfId="1995" xr:uid="{00000000-0005-0000-0000-0000C9070000}"/>
    <cellStyle name="Обычный 10 5 6 2 2 3" xfId="1996" xr:uid="{00000000-0005-0000-0000-0000CA070000}"/>
    <cellStyle name="Обычный 10 5 6 2 3" xfId="1997" xr:uid="{00000000-0005-0000-0000-0000CB070000}"/>
    <cellStyle name="Обычный 10 5 6 2 3 2" xfId="1998" xr:uid="{00000000-0005-0000-0000-0000CC070000}"/>
    <cellStyle name="Обычный 10 5 6 2 4" xfId="1999" xr:uid="{00000000-0005-0000-0000-0000CD070000}"/>
    <cellStyle name="Обычный 10 5 6 3" xfId="2000" xr:uid="{00000000-0005-0000-0000-0000CE070000}"/>
    <cellStyle name="Обычный 10 5 6 3 2" xfId="2001" xr:uid="{00000000-0005-0000-0000-0000CF070000}"/>
    <cellStyle name="Обычный 10 5 6 3 2 2" xfId="2002" xr:uid="{00000000-0005-0000-0000-0000D0070000}"/>
    <cellStyle name="Обычный 10 5 6 3 3" xfId="2003" xr:uid="{00000000-0005-0000-0000-0000D1070000}"/>
    <cellStyle name="Обычный 10 5 6 4" xfId="2004" xr:uid="{00000000-0005-0000-0000-0000D2070000}"/>
    <cellStyle name="Обычный 10 5 6 4 2" xfId="2005" xr:uid="{00000000-0005-0000-0000-0000D3070000}"/>
    <cellStyle name="Обычный 10 5 6 5" xfId="2006" xr:uid="{00000000-0005-0000-0000-0000D4070000}"/>
    <cellStyle name="Обычный 10 5 7" xfId="2007" xr:uid="{00000000-0005-0000-0000-0000D5070000}"/>
    <cellStyle name="Обычный 10 5 7 2" xfId="2008" xr:uid="{00000000-0005-0000-0000-0000D6070000}"/>
    <cellStyle name="Обычный 10 5 7 2 2" xfId="2009" xr:uid="{00000000-0005-0000-0000-0000D7070000}"/>
    <cellStyle name="Обычный 10 5 7 2 2 2" xfId="2010" xr:uid="{00000000-0005-0000-0000-0000D8070000}"/>
    <cellStyle name="Обычный 10 5 7 2 3" xfId="2011" xr:uid="{00000000-0005-0000-0000-0000D9070000}"/>
    <cellStyle name="Обычный 10 5 7 3" xfId="2012" xr:uid="{00000000-0005-0000-0000-0000DA070000}"/>
    <cellStyle name="Обычный 10 5 7 3 2" xfId="2013" xr:uid="{00000000-0005-0000-0000-0000DB070000}"/>
    <cellStyle name="Обычный 10 5 7 4" xfId="2014" xr:uid="{00000000-0005-0000-0000-0000DC070000}"/>
    <cellStyle name="Обычный 10 5 8" xfId="2015" xr:uid="{00000000-0005-0000-0000-0000DD070000}"/>
    <cellStyle name="Обычный 10 5 8 2" xfId="2016" xr:uid="{00000000-0005-0000-0000-0000DE070000}"/>
    <cellStyle name="Обычный 10 5 8 2 2" xfId="2017" xr:uid="{00000000-0005-0000-0000-0000DF070000}"/>
    <cellStyle name="Обычный 10 5 8 3" xfId="2018" xr:uid="{00000000-0005-0000-0000-0000E0070000}"/>
    <cellStyle name="Обычный 10 5 9" xfId="2019" xr:uid="{00000000-0005-0000-0000-0000E1070000}"/>
    <cellStyle name="Обычный 10 5 9 2" xfId="2020" xr:uid="{00000000-0005-0000-0000-0000E2070000}"/>
    <cellStyle name="Обычный 10 6" xfId="2021" xr:uid="{00000000-0005-0000-0000-0000E3070000}"/>
    <cellStyle name="Обычный 10 6 10" xfId="2022" xr:uid="{00000000-0005-0000-0000-0000E4070000}"/>
    <cellStyle name="Обычный 10 6 2" xfId="2023" xr:uid="{00000000-0005-0000-0000-0000E5070000}"/>
    <cellStyle name="Обычный 10 6 2 2" xfId="2024" xr:uid="{00000000-0005-0000-0000-0000E6070000}"/>
    <cellStyle name="Обычный 10 6 2 2 2" xfId="2025" xr:uid="{00000000-0005-0000-0000-0000E7070000}"/>
    <cellStyle name="Обычный 10 6 2 2 2 2" xfId="2026" xr:uid="{00000000-0005-0000-0000-0000E8070000}"/>
    <cellStyle name="Обычный 10 6 2 2 2 2 2" xfId="2027" xr:uid="{00000000-0005-0000-0000-0000E9070000}"/>
    <cellStyle name="Обычный 10 6 2 2 2 2 2 2" xfId="2028" xr:uid="{00000000-0005-0000-0000-0000EA070000}"/>
    <cellStyle name="Обычный 10 6 2 2 2 2 3" xfId="2029" xr:uid="{00000000-0005-0000-0000-0000EB070000}"/>
    <cellStyle name="Обычный 10 6 2 2 2 3" xfId="2030" xr:uid="{00000000-0005-0000-0000-0000EC070000}"/>
    <cellStyle name="Обычный 10 6 2 2 2 3 2" xfId="2031" xr:uid="{00000000-0005-0000-0000-0000ED070000}"/>
    <cellStyle name="Обычный 10 6 2 2 2 4" xfId="2032" xr:uid="{00000000-0005-0000-0000-0000EE070000}"/>
    <cellStyle name="Обычный 10 6 2 2 3" xfId="2033" xr:uid="{00000000-0005-0000-0000-0000EF070000}"/>
    <cellStyle name="Обычный 10 6 2 2 3 2" xfId="2034" xr:uid="{00000000-0005-0000-0000-0000F0070000}"/>
    <cellStyle name="Обычный 10 6 2 2 3 2 2" xfId="2035" xr:uid="{00000000-0005-0000-0000-0000F1070000}"/>
    <cellStyle name="Обычный 10 6 2 2 3 3" xfId="2036" xr:uid="{00000000-0005-0000-0000-0000F2070000}"/>
    <cellStyle name="Обычный 10 6 2 2 4" xfId="2037" xr:uid="{00000000-0005-0000-0000-0000F3070000}"/>
    <cellStyle name="Обычный 10 6 2 2 4 2" xfId="2038" xr:uid="{00000000-0005-0000-0000-0000F4070000}"/>
    <cellStyle name="Обычный 10 6 2 2 5" xfId="2039" xr:uid="{00000000-0005-0000-0000-0000F5070000}"/>
    <cellStyle name="Обычный 10 6 2 3" xfId="2040" xr:uid="{00000000-0005-0000-0000-0000F6070000}"/>
    <cellStyle name="Обычный 10 6 2 3 2" xfId="2041" xr:uid="{00000000-0005-0000-0000-0000F7070000}"/>
    <cellStyle name="Обычный 10 6 2 3 2 2" xfId="2042" xr:uid="{00000000-0005-0000-0000-0000F8070000}"/>
    <cellStyle name="Обычный 10 6 2 3 2 2 2" xfId="2043" xr:uid="{00000000-0005-0000-0000-0000F9070000}"/>
    <cellStyle name="Обычный 10 6 2 3 2 2 2 2" xfId="2044" xr:uid="{00000000-0005-0000-0000-0000FA070000}"/>
    <cellStyle name="Обычный 10 6 2 3 2 2 3" xfId="2045" xr:uid="{00000000-0005-0000-0000-0000FB070000}"/>
    <cellStyle name="Обычный 10 6 2 3 2 3" xfId="2046" xr:uid="{00000000-0005-0000-0000-0000FC070000}"/>
    <cellStyle name="Обычный 10 6 2 3 2 3 2" xfId="2047" xr:uid="{00000000-0005-0000-0000-0000FD070000}"/>
    <cellStyle name="Обычный 10 6 2 3 2 4" xfId="2048" xr:uid="{00000000-0005-0000-0000-0000FE070000}"/>
    <cellStyle name="Обычный 10 6 2 3 3" xfId="2049" xr:uid="{00000000-0005-0000-0000-0000FF070000}"/>
    <cellStyle name="Обычный 10 6 2 3 3 2" xfId="2050" xr:uid="{00000000-0005-0000-0000-000000080000}"/>
    <cellStyle name="Обычный 10 6 2 3 3 2 2" xfId="2051" xr:uid="{00000000-0005-0000-0000-000001080000}"/>
    <cellStyle name="Обычный 10 6 2 3 3 3" xfId="2052" xr:uid="{00000000-0005-0000-0000-000002080000}"/>
    <cellStyle name="Обычный 10 6 2 3 4" xfId="2053" xr:uid="{00000000-0005-0000-0000-000003080000}"/>
    <cellStyle name="Обычный 10 6 2 3 4 2" xfId="2054" xr:uid="{00000000-0005-0000-0000-000004080000}"/>
    <cellStyle name="Обычный 10 6 2 3 5" xfId="2055" xr:uid="{00000000-0005-0000-0000-000005080000}"/>
    <cellStyle name="Обычный 10 6 2 4" xfId="2056" xr:uid="{00000000-0005-0000-0000-000006080000}"/>
    <cellStyle name="Обычный 10 6 2 4 2" xfId="2057" xr:uid="{00000000-0005-0000-0000-000007080000}"/>
    <cellStyle name="Обычный 10 6 2 4 2 2" xfId="2058" xr:uid="{00000000-0005-0000-0000-000008080000}"/>
    <cellStyle name="Обычный 10 6 2 4 2 2 2" xfId="2059" xr:uid="{00000000-0005-0000-0000-000009080000}"/>
    <cellStyle name="Обычный 10 6 2 4 2 2 2 2" xfId="2060" xr:uid="{00000000-0005-0000-0000-00000A080000}"/>
    <cellStyle name="Обычный 10 6 2 4 2 2 3" xfId="2061" xr:uid="{00000000-0005-0000-0000-00000B080000}"/>
    <cellStyle name="Обычный 10 6 2 4 2 3" xfId="2062" xr:uid="{00000000-0005-0000-0000-00000C080000}"/>
    <cellStyle name="Обычный 10 6 2 4 2 3 2" xfId="2063" xr:uid="{00000000-0005-0000-0000-00000D080000}"/>
    <cellStyle name="Обычный 10 6 2 4 2 4" xfId="2064" xr:uid="{00000000-0005-0000-0000-00000E080000}"/>
    <cellStyle name="Обычный 10 6 2 4 3" xfId="2065" xr:uid="{00000000-0005-0000-0000-00000F080000}"/>
    <cellStyle name="Обычный 10 6 2 4 3 2" xfId="2066" xr:uid="{00000000-0005-0000-0000-000010080000}"/>
    <cellStyle name="Обычный 10 6 2 4 3 2 2" xfId="2067" xr:uid="{00000000-0005-0000-0000-000011080000}"/>
    <cellStyle name="Обычный 10 6 2 4 3 3" xfId="2068" xr:uid="{00000000-0005-0000-0000-000012080000}"/>
    <cellStyle name="Обычный 10 6 2 4 4" xfId="2069" xr:uid="{00000000-0005-0000-0000-000013080000}"/>
    <cellStyle name="Обычный 10 6 2 4 4 2" xfId="2070" xr:uid="{00000000-0005-0000-0000-000014080000}"/>
    <cellStyle name="Обычный 10 6 2 4 5" xfId="2071" xr:uid="{00000000-0005-0000-0000-000015080000}"/>
    <cellStyle name="Обычный 10 6 2 5" xfId="2072" xr:uid="{00000000-0005-0000-0000-000016080000}"/>
    <cellStyle name="Обычный 10 6 2 5 2" xfId="2073" xr:uid="{00000000-0005-0000-0000-000017080000}"/>
    <cellStyle name="Обычный 10 6 2 5 2 2" xfId="2074" xr:uid="{00000000-0005-0000-0000-000018080000}"/>
    <cellStyle name="Обычный 10 6 2 5 2 2 2" xfId="2075" xr:uid="{00000000-0005-0000-0000-000019080000}"/>
    <cellStyle name="Обычный 10 6 2 5 2 3" xfId="2076" xr:uid="{00000000-0005-0000-0000-00001A080000}"/>
    <cellStyle name="Обычный 10 6 2 5 3" xfId="2077" xr:uid="{00000000-0005-0000-0000-00001B080000}"/>
    <cellStyle name="Обычный 10 6 2 5 3 2" xfId="2078" xr:uid="{00000000-0005-0000-0000-00001C080000}"/>
    <cellStyle name="Обычный 10 6 2 5 4" xfId="2079" xr:uid="{00000000-0005-0000-0000-00001D080000}"/>
    <cellStyle name="Обычный 10 6 2 6" xfId="2080" xr:uid="{00000000-0005-0000-0000-00001E080000}"/>
    <cellStyle name="Обычный 10 6 2 6 2" xfId="2081" xr:uid="{00000000-0005-0000-0000-00001F080000}"/>
    <cellStyle name="Обычный 10 6 2 6 2 2" xfId="2082" xr:uid="{00000000-0005-0000-0000-000020080000}"/>
    <cellStyle name="Обычный 10 6 2 6 3" xfId="2083" xr:uid="{00000000-0005-0000-0000-000021080000}"/>
    <cellStyle name="Обычный 10 6 2 7" xfId="2084" xr:uid="{00000000-0005-0000-0000-000022080000}"/>
    <cellStyle name="Обычный 10 6 2 7 2" xfId="2085" xr:uid="{00000000-0005-0000-0000-000023080000}"/>
    <cellStyle name="Обычный 10 6 2 8" xfId="2086" xr:uid="{00000000-0005-0000-0000-000024080000}"/>
    <cellStyle name="Обычный 10 6 3" xfId="2087" xr:uid="{00000000-0005-0000-0000-000025080000}"/>
    <cellStyle name="Обычный 10 6 3 2" xfId="2088" xr:uid="{00000000-0005-0000-0000-000026080000}"/>
    <cellStyle name="Обычный 10 6 3 2 2" xfId="2089" xr:uid="{00000000-0005-0000-0000-000027080000}"/>
    <cellStyle name="Обычный 10 6 3 2 2 2" xfId="2090" xr:uid="{00000000-0005-0000-0000-000028080000}"/>
    <cellStyle name="Обычный 10 6 3 2 2 2 2" xfId="2091" xr:uid="{00000000-0005-0000-0000-000029080000}"/>
    <cellStyle name="Обычный 10 6 3 2 2 2 2 2" xfId="2092" xr:uid="{00000000-0005-0000-0000-00002A080000}"/>
    <cellStyle name="Обычный 10 6 3 2 2 2 3" xfId="2093" xr:uid="{00000000-0005-0000-0000-00002B080000}"/>
    <cellStyle name="Обычный 10 6 3 2 2 3" xfId="2094" xr:uid="{00000000-0005-0000-0000-00002C080000}"/>
    <cellStyle name="Обычный 10 6 3 2 2 3 2" xfId="2095" xr:uid="{00000000-0005-0000-0000-00002D080000}"/>
    <cellStyle name="Обычный 10 6 3 2 2 4" xfId="2096" xr:uid="{00000000-0005-0000-0000-00002E080000}"/>
    <cellStyle name="Обычный 10 6 3 2 3" xfId="2097" xr:uid="{00000000-0005-0000-0000-00002F080000}"/>
    <cellStyle name="Обычный 10 6 3 2 3 2" xfId="2098" xr:uid="{00000000-0005-0000-0000-000030080000}"/>
    <cellStyle name="Обычный 10 6 3 2 3 2 2" xfId="2099" xr:uid="{00000000-0005-0000-0000-000031080000}"/>
    <cellStyle name="Обычный 10 6 3 2 3 3" xfId="2100" xr:uid="{00000000-0005-0000-0000-000032080000}"/>
    <cellStyle name="Обычный 10 6 3 2 4" xfId="2101" xr:uid="{00000000-0005-0000-0000-000033080000}"/>
    <cellStyle name="Обычный 10 6 3 2 4 2" xfId="2102" xr:uid="{00000000-0005-0000-0000-000034080000}"/>
    <cellStyle name="Обычный 10 6 3 2 5" xfId="2103" xr:uid="{00000000-0005-0000-0000-000035080000}"/>
    <cellStyle name="Обычный 10 6 3 3" xfId="2104" xr:uid="{00000000-0005-0000-0000-000036080000}"/>
    <cellStyle name="Обычный 10 6 3 3 2" xfId="2105" xr:uid="{00000000-0005-0000-0000-000037080000}"/>
    <cellStyle name="Обычный 10 6 3 3 2 2" xfId="2106" xr:uid="{00000000-0005-0000-0000-000038080000}"/>
    <cellStyle name="Обычный 10 6 3 3 2 2 2" xfId="2107" xr:uid="{00000000-0005-0000-0000-000039080000}"/>
    <cellStyle name="Обычный 10 6 3 3 2 2 2 2" xfId="2108" xr:uid="{00000000-0005-0000-0000-00003A080000}"/>
    <cellStyle name="Обычный 10 6 3 3 2 2 3" xfId="2109" xr:uid="{00000000-0005-0000-0000-00003B080000}"/>
    <cellStyle name="Обычный 10 6 3 3 2 3" xfId="2110" xr:uid="{00000000-0005-0000-0000-00003C080000}"/>
    <cellStyle name="Обычный 10 6 3 3 2 3 2" xfId="2111" xr:uid="{00000000-0005-0000-0000-00003D080000}"/>
    <cellStyle name="Обычный 10 6 3 3 2 4" xfId="2112" xr:uid="{00000000-0005-0000-0000-00003E080000}"/>
    <cellStyle name="Обычный 10 6 3 3 3" xfId="2113" xr:uid="{00000000-0005-0000-0000-00003F080000}"/>
    <cellStyle name="Обычный 10 6 3 3 3 2" xfId="2114" xr:uid="{00000000-0005-0000-0000-000040080000}"/>
    <cellStyle name="Обычный 10 6 3 3 3 2 2" xfId="2115" xr:uid="{00000000-0005-0000-0000-000041080000}"/>
    <cellStyle name="Обычный 10 6 3 3 3 3" xfId="2116" xr:uid="{00000000-0005-0000-0000-000042080000}"/>
    <cellStyle name="Обычный 10 6 3 3 4" xfId="2117" xr:uid="{00000000-0005-0000-0000-000043080000}"/>
    <cellStyle name="Обычный 10 6 3 3 4 2" xfId="2118" xr:uid="{00000000-0005-0000-0000-000044080000}"/>
    <cellStyle name="Обычный 10 6 3 3 5" xfId="2119" xr:uid="{00000000-0005-0000-0000-000045080000}"/>
    <cellStyle name="Обычный 10 6 3 4" xfId="2120" xr:uid="{00000000-0005-0000-0000-000046080000}"/>
    <cellStyle name="Обычный 10 6 3 4 2" xfId="2121" xr:uid="{00000000-0005-0000-0000-000047080000}"/>
    <cellStyle name="Обычный 10 6 3 4 2 2" xfId="2122" xr:uid="{00000000-0005-0000-0000-000048080000}"/>
    <cellStyle name="Обычный 10 6 3 4 2 2 2" xfId="2123" xr:uid="{00000000-0005-0000-0000-000049080000}"/>
    <cellStyle name="Обычный 10 6 3 4 2 2 2 2" xfId="2124" xr:uid="{00000000-0005-0000-0000-00004A080000}"/>
    <cellStyle name="Обычный 10 6 3 4 2 2 3" xfId="2125" xr:uid="{00000000-0005-0000-0000-00004B080000}"/>
    <cellStyle name="Обычный 10 6 3 4 2 3" xfId="2126" xr:uid="{00000000-0005-0000-0000-00004C080000}"/>
    <cellStyle name="Обычный 10 6 3 4 2 3 2" xfId="2127" xr:uid="{00000000-0005-0000-0000-00004D080000}"/>
    <cellStyle name="Обычный 10 6 3 4 2 4" xfId="2128" xr:uid="{00000000-0005-0000-0000-00004E080000}"/>
    <cellStyle name="Обычный 10 6 3 4 3" xfId="2129" xr:uid="{00000000-0005-0000-0000-00004F080000}"/>
    <cellStyle name="Обычный 10 6 3 4 3 2" xfId="2130" xr:uid="{00000000-0005-0000-0000-000050080000}"/>
    <cellStyle name="Обычный 10 6 3 4 3 2 2" xfId="2131" xr:uid="{00000000-0005-0000-0000-000051080000}"/>
    <cellStyle name="Обычный 10 6 3 4 3 3" xfId="2132" xr:uid="{00000000-0005-0000-0000-000052080000}"/>
    <cellStyle name="Обычный 10 6 3 4 4" xfId="2133" xr:uid="{00000000-0005-0000-0000-000053080000}"/>
    <cellStyle name="Обычный 10 6 3 4 4 2" xfId="2134" xr:uid="{00000000-0005-0000-0000-000054080000}"/>
    <cellStyle name="Обычный 10 6 3 4 5" xfId="2135" xr:uid="{00000000-0005-0000-0000-000055080000}"/>
    <cellStyle name="Обычный 10 6 3 5" xfId="2136" xr:uid="{00000000-0005-0000-0000-000056080000}"/>
    <cellStyle name="Обычный 10 6 3 5 2" xfId="2137" xr:uid="{00000000-0005-0000-0000-000057080000}"/>
    <cellStyle name="Обычный 10 6 3 5 2 2" xfId="2138" xr:uid="{00000000-0005-0000-0000-000058080000}"/>
    <cellStyle name="Обычный 10 6 3 5 2 2 2" xfId="2139" xr:uid="{00000000-0005-0000-0000-000059080000}"/>
    <cellStyle name="Обычный 10 6 3 5 2 3" xfId="2140" xr:uid="{00000000-0005-0000-0000-00005A080000}"/>
    <cellStyle name="Обычный 10 6 3 5 3" xfId="2141" xr:uid="{00000000-0005-0000-0000-00005B080000}"/>
    <cellStyle name="Обычный 10 6 3 5 3 2" xfId="2142" xr:uid="{00000000-0005-0000-0000-00005C080000}"/>
    <cellStyle name="Обычный 10 6 3 5 4" xfId="2143" xr:uid="{00000000-0005-0000-0000-00005D080000}"/>
    <cellStyle name="Обычный 10 6 3 6" xfId="2144" xr:uid="{00000000-0005-0000-0000-00005E080000}"/>
    <cellStyle name="Обычный 10 6 3 6 2" xfId="2145" xr:uid="{00000000-0005-0000-0000-00005F080000}"/>
    <cellStyle name="Обычный 10 6 3 6 2 2" xfId="2146" xr:uid="{00000000-0005-0000-0000-000060080000}"/>
    <cellStyle name="Обычный 10 6 3 6 3" xfId="2147" xr:uid="{00000000-0005-0000-0000-000061080000}"/>
    <cellStyle name="Обычный 10 6 3 7" xfId="2148" xr:uid="{00000000-0005-0000-0000-000062080000}"/>
    <cellStyle name="Обычный 10 6 3 7 2" xfId="2149" xr:uid="{00000000-0005-0000-0000-000063080000}"/>
    <cellStyle name="Обычный 10 6 3 8" xfId="2150" xr:uid="{00000000-0005-0000-0000-000064080000}"/>
    <cellStyle name="Обычный 10 6 4" xfId="2151" xr:uid="{00000000-0005-0000-0000-000065080000}"/>
    <cellStyle name="Обычный 10 6 4 2" xfId="2152" xr:uid="{00000000-0005-0000-0000-000066080000}"/>
    <cellStyle name="Обычный 10 6 4 2 2" xfId="2153" xr:uid="{00000000-0005-0000-0000-000067080000}"/>
    <cellStyle name="Обычный 10 6 4 2 2 2" xfId="2154" xr:uid="{00000000-0005-0000-0000-000068080000}"/>
    <cellStyle name="Обычный 10 6 4 2 2 2 2" xfId="2155" xr:uid="{00000000-0005-0000-0000-000069080000}"/>
    <cellStyle name="Обычный 10 6 4 2 2 3" xfId="2156" xr:uid="{00000000-0005-0000-0000-00006A080000}"/>
    <cellStyle name="Обычный 10 6 4 2 3" xfId="2157" xr:uid="{00000000-0005-0000-0000-00006B080000}"/>
    <cellStyle name="Обычный 10 6 4 2 3 2" xfId="2158" xr:uid="{00000000-0005-0000-0000-00006C080000}"/>
    <cellStyle name="Обычный 10 6 4 2 4" xfId="2159" xr:uid="{00000000-0005-0000-0000-00006D080000}"/>
    <cellStyle name="Обычный 10 6 4 3" xfId="2160" xr:uid="{00000000-0005-0000-0000-00006E080000}"/>
    <cellStyle name="Обычный 10 6 4 3 2" xfId="2161" xr:uid="{00000000-0005-0000-0000-00006F080000}"/>
    <cellStyle name="Обычный 10 6 4 3 2 2" xfId="2162" xr:uid="{00000000-0005-0000-0000-000070080000}"/>
    <cellStyle name="Обычный 10 6 4 3 3" xfId="2163" xr:uid="{00000000-0005-0000-0000-000071080000}"/>
    <cellStyle name="Обычный 10 6 4 4" xfId="2164" xr:uid="{00000000-0005-0000-0000-000072080000}"/>
    <cellStyle name="Обычный 10 6 4 4 2" xfId="2165" xr:uid="{00000000-0005-0000-0000-000073080000}"/>
    <cellStyle name="Обычный 10 6 4 5" xfId="2166" xr:uid="{00000000-0005-0000-0000-000074080000}"/>
    <cellStyle name="Обычный 10 6 5" xfId="2167" xr:uid="{00000000-0005-0000-0000-000075080000}"/>
    <cellStyle name="Обычный 10 6 5 2" xfId="2168" xr:uid="{00000000-0005-0000-0000-000076080000}"/>
    <cellStyle name="Обычный 10 6 5 2 2" xfId="2169" xr:uid="{00000000-0005-0000-0000-000077080000}"/>
    <cellStyle name="Обычный 10 6 5 2 2 2" xfId="2170" xr:uid="{00000000-0005-0000-0000-000078080000}"/>
    <cellStyle name="Обычный 10 6 5 2 2 2 2" xfId="2171" xr:uid="{00000000-0005-0000-0000-000079080000}"/>
    <cellStyle name="Обычный 10 6 5 2 2 3" xfId="2172" xr:uid="{00000000-0005-0000-0000-00007A080000}"/>
    <cellStyle name="Обычный 10 6 5 2 3" xfId="2173" xr:uid="{00000000-0005-0000-0000-00007B080000}"/>
    <cellStyle name="Обычный 10 6 5 2 3 2" xfId="2174" xr:uid="{00000000-0005-0000-0000-00007C080000}"/>
    <cellStyle name="Обычный 10 6 5 2 4" xfId="2175" xr:uid="{00000000-0005-0000-0000-00007D080000}"/>
    <cellStyle name="Обычный 10 6 5 3" xfId="2176" xr:uid="{00000000-0005-0000-0000-00007E080000}"/>
    <cellStyle name="Обычный 10 6 5 3 2" xfId="2177" xr:uid="{00000000-0005-0000-0000-00007F080000}"/>
    <cellStyle name="Обычный 10 6 5 3 2 2" xfId="2178" xr:uid="{00000000-0005-0000-0000-000080080000}"/>
    <cellStyle name="Обычный 10 6 5 3 3" xfId="2179" xr:uid="{00000000-0005-0000-0000-000081080000}"/>
    <cellStyle name="Обычный 10 6 5 4" xfId="2180" xr:uid="{00000000-0005-0000-0000-000082080000}"/>
    <cellStyle name="Обычный 10 6 5 4 2" xfId="2181" xr:uid="{00000000-0005-0000-0000-000083080000}"/>
    <cellStyle name="Обычный 10 6 5 5" xfId="2182" xr:uid="{00000000-0005-0000-0000-000084080000}"/>
    <cellStyle name="Обычный 10 6 6" xfId="2183" xr:uid="{00000000-0005-0000-0000-000085080000}"/>
    <cellStyle name="Обычный 10 6 6 2" xfId="2184" xr:uid="{00000000-0005-0000-0000-000086080000}"/>
    <cellStyle name="Обычный 10 6 6 2 2" xfId="2185" xr:uid="{00000000-0005-0000-0000-000087080000}"/>
    <cellStyle name="Обычный 10 6 6 2 2 2" xfId="2186" xr:uid="{00000000-0005-0000-0000-000088080000}"/>
    <cellStyle name="Обычный 10 6 6 2 2 2 2" xfId="2187" xr:uid="{00000000-0005-0000-0000-000089080000}"/>
    <cellStyle name="Обычный 10 6 6 2 2 3" xfId="2188" xr:uid="{00000000-0005-0000-0000-00008A080000}"/>
    <cellStyle name="Обычный 10 6 6 2 3" xfId="2189" xr:uid="{00000000-0005-0000-0000-00008B080000}"/>
    <cellStyle name="Обычный 10 6 6 2 3 2" xfId="2190" xr:uid="{00000000-0005-0000-0000-00008C080000}"/>
    <cellStyle name="Обычный 10 6 6 2 4" xfId="2191" xr:uid="{00000000-0005-0000-0000-00008D080000}"/>
    <cellStyle name="Обычный 10 6 6 3" xfId="2192" xr:uid="{00000000-0005-0000-0000-00008E080000}"/>
    <cellStyle name="Обычный 10 6 6 3 2" xfId="2193" xr:uid="{00000000-0005-0000-0000-00008F080000}"/>
    <cellStyle name="Обычный 10 6 6 3 2 2" xfId="2194" xr:uid="{00000000-0005-0000-0000-000090080000}"/>
    <cellStyle name="Обычный 10 6 6 3 3" xfId="2195" xr:uid="{00000000-0005-0000-0000-000091080000}"/>
    <cellStyle name="Обычный 10 6 6 4" xfId="2196" xr:uid="{00000000-0005-0000-0000-000092080000}"/>
    <cellStyle name="Обычный 10 6 6 4 2" xfId="2197" xr:uid="{00000000-0005-0000-0000-000093080000}"/>
    <cellStyle name="Обычный 10 6 6 5" xfId="2198" xr:uid="{00000000-0005-0000-0000-000094080000}"/>
    <cellStyle name="Обычный 10 6 7" xfId="2199" xr:uid="{00000000-0005-0000-0000-000095080000}"/>
    <cellStyle name="Обычный 10 6 7 2" xfId="2200" xr:uid="{00000000-0005-0000-0000-000096080000}"/>
    <cellStyle name="Обычный 10 6 7 2 2" xfId="2201" xr:uid="{00000000-0005-0000-0000-000097080000}"/>
    <cellStyle name="Обычный 10 6 7 2 2 2" xfId="2202" xr:uid="{00000000-0005-0000-0000-000098080000}"/>
    <cellStyle name="Обычный 10 6 7 2 3" xfId="2203" xr:uid="{00000000-0005-0000-0000-000099080000}"/>
    <cellStyle name="Обычный 10 6 7 3" xfId="2204" xr:uid="{00000000-0005-0000-0000-00009A080000}"/>
    <cellStyle name="Обычный 10 6 7 3 2" xfId="2205" xr:uid="{00000000-0005-0000-0000-00009B080000}"/>
    <cellStyle name="Обычный 10 6 7 4" xfId="2206" xr:uid="{00000000-0005-0000-0000-00009C080000}"/>
    <cellStyle name="Обычный 10 6 8" xfId="2207" xr:uid="{00000000-0005-0000-0000-00009D080000}"/>
    <cellStyle name="Обычный 10 6 8 2" xfId="2208" xr:uid="{00000000-0005-0000-0000-00009E080000}"/>
    <cellStyle name="Обычный 10 6 8 2 2" xfId="2209" xr:uid="{00000000-0005-0000-0000-00009F080000}"/>
    <cellStyle name="Обычный 10 6 8 3" xfId="2210" xr:uid="{00000000-0005-0000-0000-0000A0080000}"/>
    <cellStyle name="Обычный 10 6 9" xfId="2211" xr:uid="{00000000-0005-0000-0000-0000A1080000}"/>
    <cellStyle name="Обычный 10 6 9 2" xfId="2212" xr:uid="{00000000-0005-0000-0000-0000A2080000}"/>
    <cellStyle name="Обычный 10 7" xfId="2213" xr:uid="{00000000-0005-0000-0000-0000A3080000}"/>
    <cellStyle name="Обычный 10 7 10" xfId="2214" xr:uid="{00000000-0005-0000-0000-0000A4080000}"/>
    <cellStyle name="Обычный 10 7 2" xfId="2215" xr:uid="{00000000-0005-0000-0000-0000A5080000}"/>
    <cellStyle name="Обычный 10 7 2 2" xfId="2216" xr:uid="{00000000-0005-0000-0000-0000A6080000}"/>
    <cellStyle name="Обычный 10 7 2 2 2" xfId="2217" xr:uid="{00000000-0005-0000-0000-0000A7080000}"/>
    <cellStyle name="Обычный 10 7 2 2 2 2" xfId="2218" xr:uid="{00000000-0005-0000-0000-0000A8080000}"/>
    <cellStyle name="Обычный 10 7 2 2 2 2 2" xfId="2219" xr:uid="{00000000-0005-0000-0000-0000A9080000}"/>
    <cellStyle name="Обычный 10 7 2 2 2 2 2 2" xfId="2220" xr:uid="{00000000-0005-0000-0000-0000AA080000}"/>
    <cellStyle name="Обычный 10 7 2 2 2 2 3" xfId="2221" xr:uid="{00000000-0005-0000-0000-0000AB080000}"/>
    <cellStyle name="Обычный 10 7 2 2 2 3" xfId="2222" xr:uid="{00000000-0005-0000-0000-0000AC080000}"/>
    <cellStyle name="Обычный 10 7 2 2 2 3 2" xfId="2223" xr:uid="{00000000-0005-0000-0000-0000AD080000}"/>
    <cellStyle name="Обычный 10 7 2 2 2 4" xfId="2224" xr:uid="{00000000-0005-0000-0000-0000AE080000}"/>
    <cellStyle name="Обычный 10 7 2 2 3" xfId="2225" xr:uid="{00000000-0005-0000-0000-0000AF080000}"/>
    <cellStyle name="Обычный 10 7 2 2 3 2" xfId="2226" xr:uid="{00000000-0005-0000-0000-0000B0080000}"/>
    <cellStyle name="Обычный 10 7 2 2 3 2 2" xfId="2227" xr:uid="{00000000-0005-0000-0000-0000B1080000}"/>
    <cellStyle name="Обычный 10 7 2 2 3 3" xfId="2228" xr:uid="{00000000-0005-0000-0000-0000B2080000}"/>
    <cellStyle name="Обычный 10 7 2 2 4" xfId="2229" xr:uid="{00000000-0005-0000-0000-0000B3080000}"/>
    <cellStyle name="Обычный 10 7 2 2 4 2" xfId="2230" xr:uid="{00000000-0005-0000-0000-0000B4080000}"/>
    <cellStyle name="Обычный 10 7 2 2 5" xfId="2231" xr:uid="{00000000-0005-0000-0000-0000B5080000}"/>
    <cellStyle name="Обычный 10 7 2 3" xfId="2232" xr:uid="{00000000-0005-0000-0000-0000B6080000}"/>
    <cellStyle name="Обычный 10 7 2 3 2" xfId="2233" xr:uid="{00000000-0005-0000-0000-0000B7080000}"/>
    <cellStyle name="Обычный 10 7 2 3 2 2" xfId="2234" xr:uid="{00000000-0005-0000-0000-0000B8080000}"/>
    <cellStyle name="Обычный 10 7 2 3 2 2 2" xfId="2235" xr:uid="{00000000-0005-0000-0000-0000B9080000}"/>
    <cellStyle name="Обычный 10 7 2 3 2 2 2 2" xfId="2236" xr:uid="{00000000-0005-0000-0000-0000BA080000}"/>
    <cellStyle name="Обычный 10 7 2 3 2 2 3" xfId="2237" xr:uid="{00000000-0005-0000-0000-0000BB080000}"/>
    <cellStyle name="Обычный 10 7 2 3 2 3" xfId="2238" xr:uid="{00000000-0005-0000-0000-0000BC080000}"/>
    <cellStyle name="Обычный 10 7 2 3 2 3 2" xfId="2239" xr:uid="{00000000-0005-0000-0000-0000BD080000}"/>
    <cellStyle name="Обычный 10 7 2 3 2 4" xfId="2240" xr:uid="{00000000-0005-0000-0000-0000BE080000}"/>
    <cellStyle name="Обычный 10 7 2 3 3" xfId="2241" xr:uid="{00000000-0005-0000-0000-0000BF080000}"/>
    <cellStyle name="Обычный 10 7 2 3 3 2" xfId="2242" xr:uid="{00000000-0005-0000-0000-0000C0080000}"/>
    <cellStyle name="Обычный 10 7 2 3 3 2 2" xfId="2243" xr:uid="{00000000-0005-0000-0000-0000C1080000}"/>
    <cellStyle name="Обычный 10 7 2 3 3 3" xfId="2244" xr:uid="{00000000-0005-0000-0000-0000C2080000}"/>
    <cellStyle name="Обычный 10 7 2 3 4" xfId="2245" xr:uid="{00000000-0005-0000-0000-0000C3080000}"/>
    <cellStyle name="Обычный 10 7 2 3 4 2" xfId="2246" xr:uid="{00000000-0005-0000-0000-0000C4080000}"/>
    <cellStyle name="Обычный 10 7 2 3 5" xfId="2247" xr:uid="{00000000-0005-0000-0000-0000C5080000}"/>
    <cellStyle name="Обычный 10 7 2 4" xfId="2248" xr:uid="{00000000-0005-0000-0000-0000C6080000}"/>
    <cellStyle name="Обычный 10 7 2 4 2" xfId="2249" xr:uid="{00000000-0005-0000-0000-0000C7080000}"/>
    <cellStyle name="Обычный 10 7 2 4 2 2" xfId="2250" xr:uid="{00000000-0005-0000-0000-0000C8080000}"/>
    <cellStyle name="Обычный 10 7 2 4 2 2 2" xfId="2251" xr:uid="{00000000-0005-0000-0000-0000C9080000}"/>
    <cellStyle name="Обычный 10 7 2 4 2 2 2 2" xfId="2252" xr:uid="{00000000-0005-0000-0000-0000CA080000}"/>
    <cellStyle name="Обычный 10 7 2 4 2 2 3" xfId="2253" xr:uid="{00000000-0005-0000-0000-0000CB080000}"/>
    <cellStyle name="Обычный 10 7 2 4 2 3" xfId="2254" xr:uid="{00000000-0005-0000-0000-0000CC080000}"/>
    <cellStyle name="Обычный 10 7 2 4 2 3 2" xfId="2255" xr:uid="{00000000-0005-0000-0000-0000CD080000}"/>
    <cellStyle name="Обычный 10 7 2 4 2 4" xfId="2256" xr:uid="{00000000-0005-0000-0000-0000CE080000}"/>
    <cellStyle name="Обычный 10 7 2 4 3" xfId="2257" xr:uid="{00000000-0005-0000-0000-0000CF080000}"/>
    <cellStyle name="Обычный 10 7 2 4 3 2" xfId="2258" xr:uid="{00000000-0005-0000-0000-0000D0080000}"/>
    <cellStyle name="Обычный 10 7 2 4 3 2 2" xfId="2259" xr:uid="{00000000-0005-0000-0000-0000D1080000}"/>
    <cellStyle name="Обычный 10 7 2 4 3 3" xfId="2260" xr:uid="{00000000-0005-0000-0000-0000D2080000}"/>
    <cellStyle name="Обычный 10 7 2 4 4" xfId="2261" xr:uid="{00000000-0005-0000-0000-0000D3080000}"/>
    <cellStyle name="Обычный 10 7 2 4 4 2" xfId="2262" xr:uid="{00000000-0005-0000-0000-0000D4080000}"/>
    <cellStyle name="Обычный 10 7 2 4 5" xfId="2263" xr:uid="{00000000-0005-0000-0000-0000D5080000}"/>
    <cellStyle name="Обычный 10 7 2 5" xfId="2264" xr:uid="{00000000-0005-0000-0000-0000D6080000}"/>
    <cellStyle name="Обычный 10 7 2 5 2" xfId="2265" xr:uid="{00000000-0005-0000-0000-0000D7080000}"/>
    <cellStyle name="Обычный 10 7 2 5 2 2" xfId="2266" xr:uid="{00000000-0005-0000-0000-0000D8080000}"/>
    <cellStyle name="Обычный 10 7 2 5 2 2 2" xfId="2267" xr:uid="{00000000-0005-0000-0000-0000D9080000}"/>
    <cellStyle name="Обычный 10 7 2 5 2 3" xfId="2268" xr:uid="{00000000-0005-0000-0000-0000DA080000}"/>
    <cellStyle name="Обычный 10 7 2 5 3" xfId="2269" xr:uid="{00000000-0005-0000-0000-0000DB080000}"/>
    <cellStyle name="Обычный 10 7 2 5 3 2" xfId="2270" xr:uid="{00000000-0005-0000-0000-0000DC080000}"/>
    <cellStyle name="Обычный 10 7 2 5 4" xfId="2271" xr:uid="{00000000-0005-0000-0000-0000DD080000}"/>
    <cellStyle name="Обычный 10 7 2 6" xfId="2272" xr:uid="{00000000-0005-0000-0000-0000DE080000}"/>
    <cellStyle name="Обычный 10 7 2 6 2" xfId="2273" xr:uid="{00000000-0005-0000-0000-0000DF080000}"/>
    <cellStyle name="Обычный 10 7 2 6 2 2" xfId="2274" xr:uid="{00000000-0005-0000-0000-0000E0080000}"/>
    <cellStyle name="Обычный 10 7 2 6 3" xfId="2275" xr:uid="{00000000-0005-0000-0000-0000E1080000}"/>
    <cellStyle name="Обычный 10 7 2 7" xfId="2276" xr:uid="{00000000-0005-0000-0000-0000E2080000}"/>
    <cellStyle name="Обычный 10 7 2 7 2" xfId="2277" xr:uid="{00000000-0005-0000-0000-0000E3080000}"/>
    <cellStyle name="Обычный 10 7 2 8" xfId="2278" xr:uid="{00000000-0005-0000-0000-0000E4080000}"/>
    <cellStyle name="Обычный 10 7 3" xfId="2279" xr:uid="{00000000-0005-0000-0000-0000E5080000}"/>
    <cellStyle name="Обычный 10 7 3 2" xfId="2280" xr:uid="{00000000-0005-0000-0000-0000E6080000}"/>
    <cellStyle name="Обычный 10 7 3 2 2" xfId="2281" xr:uid="{00000000-0005-0000-0000-0000E7080000}"/>
    <cellStyle name="Обычный 10 7 3 2 2 2" xfId="2282" xr:uid="{00000000-0005-0000-0000-0000E8080000}"/>
    <cellStyle name="Обычный 10 7 3 2 2 2 2" xfId="2283" xr:uid="{00000000-0005-0000-0000-0000E9080000}"/>
    <cellStyle name="Обычный 10 7 3 2 2 2 2 2" xfId="2284" xr:uid="{00000000-0005-0000-0000-0000EA080000}"/>
    <cellStyle name="Обычный 10 7 3 2 2 2 3" xfId="2285" xr:uid="{00000000-0005-0000-0000-0000EB080000}"/>
    <cellStyle name="Обычный 10 7 3 2 2 3" xfId="2286" xr:uid="{00000000-0005-0000-0000-0000EC080000}"/>
    <cellStyle name="Обычный 10 7 3 2 2 3 2" xfId="2287" xr:uid="{00000000-0005-0000-0000-0000ED080000}"/>
    <cellStyle name="Обычный 10 7 3 2 2 4" xfId="2288" xr:uid="{00000000-0005-0000-0000-0000EE080000}"/>
    <cellStyle name="Обычный 10 7 3 2 3" xfId="2289" xr:uid="{00000000-0005-0000-0000-0000EF080000}"/>
    <cellStyle name="Обычный 10 7 3 2 3 2" xfId="2290" xr:uid="{00000000-0005-0000-0000-0000F0080000}"/>
    <cellStyle name="Обычный 10 7 3 2 3 2 2" xfId="2291" xr:uid="{00000000-0005-0000-0000-0000F1080000}"/>
    <cellStyle name="Обычный 10 7 3 2 3 3" xfId="2292" xr:uid="{00000000-0005-0000-0000-0000F2080000}"/>
    <cellStyle name="Обычный 10 7 3 2 4" xfId="2293" xr:uid="{00000000-0005-0000-0000-0000F3080000}"/>
    <cellStyle name="Обычный 10 7 3 2 4 2" xfId="2294" xr:uid="{00000000-0005-0000-0000-0000F4080000}"/>
    <cellStyle name="Обычный 10 7 3 2 5" xfId="2295" xr:uid="{00000000-0005-0000-0000-0000F5080000}"/>
    <cellStyle name="Обычный 10 7 3 3" xfId="2296" xr:uid="{00000000-0005-0000-0000-0000F6080000}"/>
    <cellStyle name="Обычный 10 7 3 3 2" xfId="2297" xr:uid="{00000000-0005-0000-0000-0000F7080000}"/>
    <cellStyle name="Обычный 10 7 3 3 2 2" xfId="2298" xr:uid="{00000000-0005-0000-0000-0000F8080000}"/>
    <cellStyle name="Обычный 10 7 3 3 2 2 2" xfId="2299" xr:uid="{00000000-0005-0000-0000-0000F9080000}"/>
    <cellStyle name="Обычный 10 7 3 3 2 2 2 2" xfId="2300" xr:uid="{00000000-0005-0000-0000-0000FA080000}"/>
    <cellStyle name="Обычный 10 7 3 3 2 2 3" xfId="2301" xr:uid="{00000000-0005-0000-0000-0000FB080000}"/>
    <cellStyle name="Обычный 10 7 3 3 2 3" xfId="2302" xr:uid="{00000000-0005-0000-0000-0000FC080000}"/>
    <cellStyle name="Обычный 10 7 3 3 2 3 2" xfId="2303" xr:uid="{00000000-0005-0000-0000-0000FD080000}"/>
    <cellStyle name="Обычный 10 7 3 3 2 4" xfId="2304" xr:uid="{00000000-0005-0000-0000-0000FE080000}"/>
    <cellStyle name="Обычный 10 7 3 3 3" xfId="2305" xr:uid="{00000000-0005-0000-0000-0000FF080000}"/>
    <cellStyle name="Обычный 10 7 3 3 3 2" xfId="2306" xr:uid="{00000000-0005-0000-0000-000000090000}"/>
    <cellStyle name="Обычный 10 7 3 3 3 2 2" xfId="2307" xr:uid="{00000000-0005-0000-0000-000001090000}"/>
    <cellStyle name="Обычный 10 7 3 3 3 3" xfId="2308" xr:uid="{00000000-0005-0000-0000-000002090000}"/>
    <cellStyle name="Обычный 10 7 3 3 4" xfId="2309" xr:uid="{00000000-0005-0000-0000-000003090000}"/>
    <cellStyle name="Обычный 10 7 3 3 4 2" xfId="2310" xr:uid="{00000000-0005-0000-0000-000004090000}"/>
    <cellStyle name="Обычный 10 7 3 3 5" xfId="2311" xr:uid="{00000000-0005-0000-0000-000005090000}"/>
    <cellStyle name="Обычный 10 7 3 4" xfId="2312" xr:uid="{00000000-0005-0000-0000-000006090000}"/>
    <cellStyle name="Обычный 10 7 3 4 2" xfId="2313" xr:uid="{00000000-0005-0000-0000-000007090000}"/>
    <cellStyle name="Обычный 10 7 3 4 2 2" xfId="2314" xr:uid="{00000000-0005-0000-0000-000008090000}"/>
    <cellStyle name="Обычный 10 7 3 4 2 2 2" xfId="2315" xr:uid="{00000000-0005-0000-0000-000009090000}"/>
    <cellStyle name="Обычный 10 7 3 4 2 2 2 2" xfId="2316" xr:uid="{00000000-0005-0000-0000-00000A090000}"/>
    <cellStyle name="Обычный 10 7 3 4 2 2 3" xfId="2317" xr:uid="{00000000-0005-0000-0000-00000B090000}"/>
    <cellStyle name="Обычный 10 7 3 4 2 3" xfId="2318" xr:uid="{00000000-0005-0000-0000-00000C090000}"/>
    <cellStyle name="Обычный 10 7 3 4 2 3 2" xfId="2319" xr:uid="{00000000-0005-0000-0000-00000D090000}"/>
    <cellStyle name="Обычный 10 7 3 4 2 4" xfId="2320" xr:uid="{00000000-0005-0000-0000-00000E090000}"/>
    <cellStyle name="Обычный 10 7 3 4 3" xfId="2321" xr:uid="{00000000-0005-0000-0000-00000F090000}"/>
    <cellStyle name="Обычный 10 7 3 4 3 2" xfId="2322" xr:uid="{00000000-0005-0000-0000-000010090000}"/>
    <cellStyle name="Обычный 10 7 3 4 3 2 2" xfId="2323" xr:uid="{00000000-0005-0000-0000-000011090000}"/>
    <cellStyle name="Обычный 10 7 3 4 3 3" xfId="2324" xr:uid="{00000000-0005-0000-0000-000012090000}"/>
    <cellStyle name="Обычный 10 7 3 4 4" xfId="2325" xr:uid="{00000000-0005-0000-0000-000013090000}"/>
    <cellStyle name="Обычный 10 7 3 4 4 2" xfId="2326" xr:uid="{00000000-0005-0000-0000-000014090000}"/>
    <cellStyle name="Обычный 10 7 3 4 5" xfId="2327" xr:uid="{00000000-0005-0000-0000-000015090000}"/>
    <cellStyle name="Обычный 10 7 3 5" xfId="2328" xr:uid="{00000000-0005-0000-0000-000016090000}"/>
    <cellStyle name="Обычный 10 7 3 5 2" xfId="2329" xr:uid="{00000000-0005-0000-0000-000017090000}"/>
    <cellStyle name="Обычный 10 7 3 5 2 2" xfId="2330" xr:uid="{00000000-0005-0000-0000-000018090000}"/>
    <cellStyle name="Обычный 10 7 3 5 2 2 2" xfId="2331" xr:uid="{00000000-0005-0000-0000-000019090000}"/>
    <cellStyle name="Обычный 10 7 3 5 2 3" xfId="2332" xr:uid="{00000000-0005-0000-0000-00001A090000}"/>
    <cellStyle name="Обычный 10 7 3 5 3" xfId="2333" xr:uid="{00000000-0005-0000-0000-00001B090000}"/>
    <cellStyle name="Обычный 10 7 3 5 3 2" xfId="2334" xr:uid="{00000000-0005-0000-0000-00001C090000}"/>
    <cellStyle name="Обычный 10 7 3 5 4" xfId="2335" xr:uid="{00000000-0005-0000-0000-00001D090000}"/>
    <cellStyle name="Обычный 10 7 3 6" xfId="2336" xr:uid="{00000000-0005-0000-0000-00001E090000}"/>
    <cellStyle name="Обычный 10 7 3 6 2" xfId="2337" xr:uid="{00000000-0005-0000-0000-00001F090000}"/>
    <cellStyle name="Обычный 10 7 3 6 2 2" xfId="2338" xr:uid="{00000000-0005-0000-0000-000020090000}"/>
    <cellStyle name="Обычный 10 7 3 6 3" xfId="2339" xr:uid="{00000000-0005-0000-0000-000021090000}"/>
    <cellStyle name="Обычный 10 7 3 7" xfId="2340" xr:uid="{00000000-0005-0000-0000-000022090000}"/>
    <cellStyle name="Обычный 10 7 3 7 2" xfId="2341" xr:uid="{00000000-0005-0000-0000-000023090000}"/>
    <cellStyle name="Обычный 10 7 3 8" xfId="2342" xr:uid="{00000000-0005-0000-0000-000024090000}"/>
    <cellStyle name="Обычный 10 7 4" xfId="2343" xr:uid="{00000000-0005-0000-0000-000025090000}"/>
    <cellStyle name="Обычный 10 7 4 2" xfId="2344" xr:uid="{00000000-0005-0000-0000-000026090000}"/>
    <cellStyle name="Обычный 10 7 4 2 2" xfId="2345" xr:uid="{00000000-0005-0000-0000-000027090000}"/>
    <cellStyle name="Обычный 10 7 4 2 2 2" xfId="2346" xr:uid="{00000000-0005-0000-0000-000028090000}"/>
    <cellStyle name="Обычный 10 7 4 2 2 2 2" xfId="2347" xr:uid="{00000000-0005-0000-0000-000029090000}"/>
    <cellStyle name="Обычный 10 7 4 2 2 3" xfId="2348" xr:uid="{00000000-0005-0000-0000-00002A090000}"/>
    <cellStyle name="Обычный 10 7 4 2 3" xfId="2349" xr:uid="{00000000-0005-0000-0000-00002B090000}"/>
    <cellStyle name="Обычный 10 7 4 2 3 2" xfId="2350" xr:uid="{00000000-0005-0000-0000-00002C090000}"/>
    <cellStyle name="Обычный 10 7 4 2 4" xfId="2351" xr:uid="{00000000-0005-0000-0000-00002D090000}"/>
    <cellStyle name="Обычный 10 7 4 3" xfId="2352" xr:uid="{00000000-0005-0000-0000-00002E090000}"/>
    <cellStyle name="Обычный 10 7 4 3 2" xfId="2353" xr:uid="{00000000-0005-0000-0000-00002F090000}"/>
    <cellStyle name="Обычный 10 7 4 3 2 2" xfId="2354" xr:uid="{00000000-0005-0000-0000-000030090000}"/>
    <cellStyle name="Обычный 10 7 4 3 3" xfId="2355" xr:uid="{00000000-0005-0000-0000-000031090000}"/>
    <cellStyle name="Обычный 10 7 4 4" xfId="2356" xr:uid="{00000000-0005-0000-0000-000032090000}"/>
    <cellStyle name="Обычный 10 7 4 4 2" xfId="2357" xr:uid="{00000000-0005-0000-0000-000033090000}"/>
    <cellStyle name="Обычный 10 7 4 5" xfId="2358" xr:uid="{00000000-0005-0000-0000-000034090000}"/>
    <cellStyle name="Обычный 10 7 5" xfId="2359" xr:uid="{00000000-0005-0000-0000-000035090000}"/>
    <cellStyle name="Обычный 10 7 5 2" xfId="2360" xr:uid="{00000000-0005-0000-0000-000036090000}"/>
    <cellStyle name="Обычный 10 7 5 2 2" xfId="2361" xr:uid="{00000000-0005-0000-0000-000037090000}"/>
    <cellStyle name="Обычный 10 7 5 2 2 2" xfId="2362" xr:uid="{00000000-0005-0000-0000-000038090000}"/>
    <cellStyle name="Обычный 10 7 5 2 2 2 2" xfId="2363" xr:uid="{00000000-0005-0000-0000-000039090000}"/>
    <cellStyle name="Обычный 10 7 5 2 2 3" xfId="2364" xr:uid="{00000000-0005-0000-0000-00003A090000}"/>
    <cellStyle name="Обычный 10 7 5 2 3" xfId="2365" xr:uid="{00000000-0005-0000-0000-00003B090000}"/>
    <cellStyle name="Обычный 10 7 5 2 3 2" xfId="2366" xr:uid="{00000000-0005-0000-0000-00003C090000}"/>
    <cellStyle name="Обычный 10 7 5 2 4" xfId="2367" xr:uid="{00000000-0005-0000-0000-00003D090000}"/>
    <cellStyle name="Обычный 10 7 5 3" xfId="2368" xr:uid="{00000000-0005-0000-0000-00003E090000}"/>
    <cellStyle name="Обычный 10 7 5 3 2" xfId="2369" xr:uid="{00000000-0005-0000-0000-00003F090000}"/>
    <cellStyle name="Обычный 10 7 5 3 2 2" xfId="2370" xr:uid="{00000000-0005-0000-0000-000040090000}"/>
    <cellStyle name="Обычный 10 7 5 3 3" xfId="2371" xr:uid="{00000000-0005-0000-0000-000041090000}"/>
    <cellStyle name="Обычный 10 7 5 4" xfId="2372" xr:uid="{00000000-0005-0000-0000-000042090000}"/>
    <cellStyle name="Обычный 10 7 5 4 2" xfId="2373" xr:uid="{00000000-0005-0000-0000-000043090000}"/>
    <cellStyle name="Обычный 10 7 5 5" xfId="2374" xr:uid="{00000000-0005-0000-0000-000044090000}"/>
    <cellStyle name="Обычный 10 7 6" xfId="2375" xr:uid="{00000000-0005-0000-0000-000045090000}"/>
    <cellStyle name="Обычный 10 7 6 2" xfId="2376" xr:uid="{00000000-0005-0000-0000-000046090000}"/>
    <cellStyle name="Обычный 10 7 6 2 2" xfId="2377" xr:uid="{00000000-0005-0000-0000-000047090000}"/>
    <cellStyle name="Обычный 10 7 6 2 2 2" xfId="2378" xr:uid="{00000000-0005-0000-0000-000048090000}"/>
    <cellStyle name="Обычный 10 7 6 2 2 2 2" xfId="2379" xr:uid="{00000000-0005-0000-0000-000049090000}"/>
    <cellStyle name="Обычный 10 7 6 2 2 3" xfId="2380" xr:uid="{00000000-0005-0000-0000-00004A090000}"/>
    <cellStyle name="Обычный 10 7 6 2 3" xfId="2381" xr:uid="{00000000-0005-0000-0000-00004B090000}"/>
    <cellStyle name="Обычный 10 7 6 2 3 2" xfId="2382" xr:uid="{00000000-0005-0000-0000-00004C090000}"/>
    <cellStyle name="Обычный 10 7 6 2 4" xfId="2383" xr:uid="{00000000-0005-0000-0000-00004D090000}"/>
    <cellStyle name="Обычный 10 7 6 3" xfId="2384" xr:uid="{00000000-0005-0000-0000-00004E090000}"/>
    <cellStyle name="Обычный 10 7 6 3 2" xfId="2385" xr:uid="{00000000-0005-0000-0000-00004F090000}"/>
    <cellStyle name="Обычный 10 7 6 3 2 2" xfId="2386" xr:uid="{00000000-0005-0000-0000-000050090000}"/>
    <cellStyle name="Обычный 10 7 6 3 3" xfId="2387" xr:uid="{00000000-0005-0000-0000-000051090000}"/>
    <cellStyle name="Обычный 10 7 6 4" xfId="2388" xr:uid="{00000000-0005-0000-0000-000052090000}"/>
    <cellStyle name="Обычный 10 7 6 4 2" xfId="2389" xr:uid="{00000000-0005-0000-0000-000053090000}"/>
    <cellStyle name="Обычный 10 7 6 5" xfId="2390" xr:uid="{00000000-0005-0000-0000-000054090000}"/>
    <cellStyle name="Обычный 10 7 7" xfId="2391" xr:uid="{00000000-0005-0000-0000-000055090000}"/>
    <cellStyle name="Обычный 10 7 7 2" xfId="2392" xr:uid="{00000000-0005-0000-0000-000056090000}"/>
    <cellStyle name="Обычный 10 7 7 2 2" xfId="2393" xr:uid="{00000000-0005-0000-0000-000057090000}"/>
    <cellStyle name="Обычный 10 7 7 2 2 2" xfId="2394" xr:uid="{00000000-0005-0000-0000-000058090000}"/>
    <cellStyle name="Обычный 10 7 7 2 3" xfId="2395" xr:uid="{00000000-0005-0000-0000-000059090000}"/>
    <cellStyle name="Обычный 10 7 7 3" xfId="2396" xr:uid="{00000000-0005-0000-0000-00005A090000}"/>
    <cellStyle name="Обычный 10 7 7 3 2" xfId="2397" xr:uid="{00000000-0005-0000-0000-00005B090000}"/>
    <cellStyle name="Обычный 10 7 7 4" xfId="2398" xr:uid="{00000000-0005-0000-0000-00005C090000}"/>
    <cellStyle name="Обычный 10 7 8" xfId="2399" xr:uid="{00000000-0005-0000-0000-00005D090000}"/>
    <cellStyle name="Обычный 10 7 8 2" xfId="2400" xr:uid="{00000000-0005-0000-0000-00005E090000}"/>
    <cellStyle name="Обычный 10 7 8 2 2" xfId="2401" xr:uid="{00000000-0005-0000-0000-00005F090000}"/>
    <cellStyle name="Обычный 10 7 8 3" xfId="2402" xr:uid="{00000000-0005-0000-0000-000060090000}"/>
    <cellStyle name="Обычный 10 7 9" xfId="2403" xr:uid="{00000000-0005-0000-0000-000061090000}"/>
    <cellStyle name="Обычный 10 7 9 2" xfId="2404" xr:uid="{00000000-0005-0000-0000-000062090000}"/>
    <cellStyle name="Обычный 10 8" xfId="2405" xr:uid="{00000000-0005-0000-0000-000063090000}"/>
    <cellStyle name="Обычный 10 8 10" xfId="2406" xr:uid="{00000000-0005-0000-0000-000064090000}"/>
    <cellStyle name="Обычный 10 8 2" xfId="2407" xr:uid="{00000000-0005-0000-0000-000065090000}"/>
    <cellStyle name="Обычный 10 8 2 2" xfId="2408" xr:uid="{00000000-0005-0000-0000-000066090000}"/>
    <cellStyle name="Обычный 10 8 2 2 2" xfId="2409" xr:uid="{00000000-0005-0000-0000-000067090000}"/>
    <cellStyle name="Обычный 10 8 2 2 2 2" xfId="2410" xr:uid="{00000000-0005-0000-0000-000068090000}"/>
    <cellStyle name="Обычный 10 8 2 2 2 2 2" xfId="2411" xr:uid="{00000000-0005-0000-0000-000069090000}"/>
    <cellStyle name="Обычный 10 8 2 2 2 2 2 2" xfId="2412" xr:uid="{00000000-0005-0000-0000-00006A090000}"/>
    <cellStyle name="Обычный 10 8 2 2 2 2 3" xfId="2413" xr:uid="{00000000-0005-0000-0000-00006B090000}"/>
    <cellStyle name="Обычный 10 8 2 2 2 3" xfId="2414" xr:uid="{00000000-0005-0000-0000-00006C090000}"/>
    <cellStyle name="Обычный 10 8 2 2 2 3 2" xfId="2415" xr:uid="{00000000-0005-0000-0000-00006D090000}"/>
    <cellStyle name="Обычный 10 8 2 2 2 4" xfId="2416" xr:uid="{00000000-0005-0000-0000-00006E090000}"/>
    <cellStyle name="Обычный 10 8 2 2 3" xfId="2417" xr:uid="{00000000-0005-0000-0000-00006F090000}"/>
    <cellStyle name="Обычный 10 8 2 2 3 2" xfId="2418" xr:uid="{00000000-0005-0000-0000-000070090000}"/>
    <cellStyle name="Обычный 10 8 2 2 3 2 2" xfId="2419" xr:uid="{00000000-0005-0000-0000-000071090000}"/>
    <cellStyle name="Обычный 10 8 2 2 3 3" xfId="2420" xr:uid="{00000000-0005-0000-0000-000072090000}"/>
    <cellStyle name="Обычный 10 8 2 2 4" xfId="2421" xr:uid="{00000000-0005-0000-0000-000073090000}"/>
    <cellStyle name="Обычный 10 8 2 2 4 2" xfId="2422" xr:uid="{00000000-0005-0000-0000-000074090000}"/>
    <cellStyle name="Обычный 10 8 2 2 5" xfId="2423" xr:uid="{00000000-0005-0000-0000-000075090000}"/>
    <cellStyle name="Обычный 10 8 2 3" xfId="2424" xr:uid="{00000000-0005-0000-0000-000076090000}"/>
    <cellStyle name="Обычный 10 8 2 3 2" xfId="2425" xr:uid="{00000000-0005-0000-0000-000077090000}"/>
    <cellStyle name="Обычный 10 8 2 3 2 2" xfId="2426" xr:uid="{00000000-0005-0000-0000-000078090000}"/>
    <cellStyle name="Обычный 10 8 2 3 2 2 2" xfId="2427" xr:uid="{00000000-0005-0000-0000-000079090000}"/>
    <cellStyle name="Обычный 10 8 2 3 2 2 2 2" xfId="2428" xr:uid="{00000000-0005-0000-0000-00007A090000}"/>
    <cellStyle name="Обычный 10 8 2 3 2 2 3" xfId="2429" xr:uid="{00000000-0005-0000-0000-00007B090000}"/>
    <cellStyle name="Обычный 10 8 2 3 2 3" xfId="2430" xr:uid="{00000000-0005-0000-0000-00007C090000}"/>
    <cellStyle name="Обычный 10 8 2 3 2 3 2" xfId="2431" xr:uid="{00000000-0005-0000-0000-00007D090000}"/>
    <cellStyle name="Обычный 10 8 2 3 2 4" xfId="2432" xr:uid="{00000000-0005-0000-0000-00007E090000}"/>
    <cellStyle name="Обычный 10 8 2 3 3" xfId="2433" xr:uid="{00000000-0005-0000-0000-00007F090000}"/>
    <cellStyle name="Обычный 10 8 2 3 3 2" xfId="2434" xr:uid="{00000000-0005-0000-0000-000080090000}"/>
    <cellStyle name="Обычный 10 8 2 3 3 2 2" xfId="2435" xr:uid="{00000000-0005-0000-0000-000081090000}"/>
    <cellStyle name="Обычный 10 8 2 3 3 3" xfId="2436" xr:uid="{00000000-0005-0000-0000-000082090000}"/>
    <cellStyle name="Обычный 10 8 2 3 4" xfId="2437" xr:uid="{00000000-0005-0000-0000-000083090000}"/>
    <cellStyle name="Обычный 10 8 2 3 4 2" xfId="2438" xr:uid="{00000000-0005-0000-0000-000084090000}"/>
    <cellStyle name="Обычный 10 8 2 3 5" xfId="2439" xr:uid="{00000000-0005-0000-0000-000085090000}"/>
    <cellStyle name="Обычный 10 8 2 4" xfId="2440" xr:uid="{00000000-0005-0000-0000-000086090000}"/>
    <cellStyle name="Обычный 10 8 2 4 2" xfId="2441" xr:uid="{00000000-0005-0000-0000-000087090000}"/>
    <cellStyle name="Обычный 10 8 2 4 2 2" xfId="2442" xr:uid="{00000000-0005-0000-0000-000088090000}"/>
    <cellStyle name="Обычный 10 8 2 4 2 2 2" xfId="2443" xr:uid="{00000000-0005-0000-0000-000089090000}"/>
    <cellStyle name="Обычный 10 8 2 4 2 2 2 2" xfId="2444" xr:uid="{00000000-0005-0000-0000-00008A090000}"/>
    <cellStyle name="Обычный 10 8 2 4 2 2 3" xfId="2445" xr:uid="{00000000-0005-0000-0000-00008B090000}"/>
    <cellStyle name="Обычный 10 8 2 4 2 3" xfId="2446" xr:uid="{00000000-0005-0000-0000-00008C090000}"/>
    <cellStyle name="Обычный 10 8 2 4 2 3 2" xfId="2447" xr:uid="{00000000-0005-0000-0000-00008D090000}"/>
    <cellStyle name="Обычный 10 8 2 4 2 4" xfId="2448" xr:uid="{00000000-0005-0000-0000-00008E090000}"/>
    <cellStyle name="Обычный 10 8 2 4 3" xfId="2449" xr:uid="{00000000-0005-0000-0000-00008F090000}"/>
    <cellStyle name="Обычный 10 8 2 4 3 2" xfId="2450" xr:uid="{00000000-0005-0000-0000-000090090000}"/>
    <cellStyle name="Обычный 10 8 2 4 3 2 2" xfId="2451" xr:uid="{00000000-0005-0000-0000-000091090000}"/>
    <cellStyle name="Обычный 10 8 2 4 3 3" xfId="2452" xr:uid="{00000000-0005-0000-0000-000092090000}"/>
    <cellStyle name="Обычный 10 8 2 4 4" xfId="2453" xr:uid="{00000000-0005-0000-0000-000093090000}"/>
    <cellStyle name="Обычный 10 8 2 4 4 2" xfId="2454" xr:uid="{00000000-0005-0000-0000-000094090000}"/>
    <cellStyle name="Обычный 10 8 2 4 5" xfId="2455" xr:uid="{00000000-0005-0000-0000-000095090000}"/>
    <cellStyle name="Обычный 10 8 2 5" xfId="2456" xr:uid="{00000000-0005-0000-0000-000096090000}"/>
    <cellStyle name="Обычный 10 8 2 5 2" xfId="2457" xr:uid="{00000000-0005-0000-0000-000097090000}"/>
    <cellStyle name="Обычный 10 8 2 5 2 2" xfId="2458" xr:uid="{00000000-0005-0000-0000-000098090000}"/>
    <cellStyle name="Обычный 10 8 2 5 2 2 2" xfId="2459" xr:uid="{00000000-0005-0000-0000-000099090000}"/>
    <cellStyle name="Обычный 10 8 2 5 2 3" xfId="2460" xr:uid="{00000000-0005-0000-0000-00009A090000}"/>
    <cellStyle name="Обычный 10 8 2 5 3" xfId="2461" xr:uid="{00000000-0005-0000-0000-00009B090000}"/>
    <cellStyle name="Обычный 10 8 2 5 3 2" xfId="2462" xr:uid="{00000000-0005-0000-0000-00009C090000}"/>
    <cellStyle name="Обычный 10 8 2 5 4" xfId="2463" xr:uid="{00000000-0005-0000-0000-00009D090000}"/>
    <cellStyle name="Обычный 10 8 2 6" xfId="2464" xr:uid="{00000000-0005-0000-0000-00009E090000}"/>
    <cellStyle name="Обычный 10 8 2 6 2" xfId="2465" xr:uid="{00000000-0005-0000-0000-00009F090000}"/>
    <cellStyle name="Обычный 10 8 2 6 2 2" xfId="2466" xr:uid="{00000000-0005-0000-0000-0000A0090000}"/>
    <cellStyle name="Обычный 10 8 2 6 3" xfId="2467" xr:uid="{00000000-0005-0000-0000-0000A1090000}"/>
    <cellStyle name="Обычный 10 8 2 7" xfId="2468" xr:uid="{00000000-0005-0000-0000-0000A2090000}"/>
    <cellStyle name="Обычный 10 8 2 7 2" xfId="2469" xr:uid="{00000000-0005-0000-0000-0000A3090000}"/>
    <cellStyle name="Обычный 10 8 2 8" xfId="2470" xr:uid="{00000000-0005-0000-0000-0000A4090000}"/>
    <cellStyle name="Обычный 10 8 3" xfId="2471" xr:uid="{00000000-0005-0000-0000-0000A5090000}"/>
    <cellStyle name="Обычный 10 8 3 2" xfId="2472" xr:uid="{00000000-0005-0000-0000-0000A6090000}"/>
    <cellStyle name="Обычный 10 8 3 2 2" xfId="2473" xr:uid="{00000000-0005-0000-0000-0000A7090000}"/>
    <cellStyle name="Обычный 10 8 3 2 2 2" xfId="2474" xr:uid="{00000000-0005-0000-0000-0000A8090000}"/>
    <cellStyle name="Обычный 10 8 3 2 2 2 2" xfId="2475" xr:uid="{00000000-0005-0000-0000-0000A9090000}"/>
    <cellStyle name="Обычный 10 8 3 2 2 2 2 2" xfId="2476" xr:uid="{00000000-0005-0000-0000-0000AA090000}"/>
    <cellStyle name="Обычный 10 8 3 2 2 2 3" xfId="2477" xr:uid="{00000000-0005-0000-0000-0000AB090000}"/>
    <cellStyle name="Обычный 10 8 3 2 2 3" xfId="2478" xr:uid="{00000000-0005-0000-0000-0000AC090000}"/>
    <cellStyle name="Обычный 10 8 3 2 2 3 2" xfId="2479" xr:uid="{00000000-0005-0000-0000-0000AD090000}"/>
    <cellStyle name="Обычный 10 8 3 2 2 4" xfId="2480" xr:uid="{00000000-0005-0000-0000-0000AE090000}"/>
    <cellStyle name="Обычный 10 8 3 2 3" xfId="2481" xr:uid="{00000000-0005-0000-0000-0000AF090000}"/>
    <cellStyle name="Обычный 10 8 3 2 3 2" xfId="2482" xr:uid="{00000000-0005-0000-0000-0000B0090000}"/>
    <cellStyle name="Обычный 10 8 3 2 3 2 2" xfId="2483" xr:uid="{00000000-0005-0000-0000-0000B1090000}"/>
    <cellStyle name="Обычный 10 8 3 2 3 3" xfId="2484" xr:uid="{00000000-0005-0000-0000-0000B2090000}"/>
    <cellStyle name="Обычный 10 8 3 2 4" xfId="2485" xr:uid="{00000000-0005-0000-0000-0000B3090000}"/>
    <cellStyle name="Обычный 10 8 3 2 4 2" xfId="2486" xr:uid="{00000000-0005-0000-0000-0000B4090000}"/>
    <cellStyle name="Обычный 10 8 3 2 5" xfId="2487" xr:uid="{00000000-0005-0000-0000-0000B5090000}"/>
    <cellStyle name="Обычный 10 8 3 3" xfId="2488" xr:uid="{00000000-0005-0000-0000-0000B6090000}"/>
    <cellStyle name="Обычный 10 8 3 3 2" xfId="2489" xr:uid="{00000000-0005-0000-0000-0000B7090000}"/>
    <cellStyle name="Обычный 10 8 3 3 2 2" xfId="2490" xr:uid="{00000000-0005-0000-0000-0000B8090000}"/>
    <cellStyle name="Обычный 10 8 3 3 2 2 2" xfId="2491" xr:uid="{00000000-0005-0000-0000-0000B9090000}"/>
    <cellStyle name="Обычный 10 8 3 3 2 2 2 2" xfId="2492" xr:uid="{00000000-0005-0000-0000-0000BA090000}"/>
    <cellStyle name="Обычный 10 8 3 3 2 2 3" xfId="2493" xr:uid="{00000000-0005-0000-0000-0000BB090000}"/>
    <cellStyle name="Обычный 10 8 3 3 2 3" xfId="2494" xr:uid="{00000000-0005-0000-0000-0000BC090000}"/>
    <cellStyle name="Обычный 10 8 3 3 2 3 2" xfId="2495" xr:uid="{00000000-0005-0000-0000-0000BD090000}"/>
    <cellStyle name="Обычный 10 8 3 3 2 4" xfId="2496" xr:uid="{00000000-0005-0000-0000-0000BE090000}"/>
    <cellStyle name="Обычный 10 8 3 3 3" xfId="2497" xr:uid="{00000000-0005-0000-0000-0000BF090000}"/>
    <cellStyle name="Обычный 10 8 3 3 3 2" xfId="2498" xr:uid="{00000000-0005-0000-0000-0000C0090000}"/>
    <cellStyle name="Обычный 10 8 3 3 3 2 2" xfId="2499" xr:uid="{00000000-0005-0000-0000-0000C1090000}"/>
    <cellStyle name="Обычный 10 8 3 3 3 3" xfId="2500" xr:uid="{00000000-0005-0000-0000-0000C2090000}"/>
    <cellStyle name="Обычный 10 8 3 3 4" xfId="2501" xr:uid="{00000000-0005-0000-0000-0000C3090000}"/>
    <cellStyle name="Обычный 10 8 3 3 4 2" xfId="2502" xr:uid="{00000000-0005-0000-0000-0000C4090000}"/>
    <cellStyle name="Обычный 10 8 3 3 5" xfId="2503" xr:uid="{00000000-0005-0000-0000-0000C5090000}"/>
    <cellStyle name="Обычный 10 8 3 4" xfId="2504" xr:uid="{00000000-0005-0000-0000-0000C6090000}"/>
    <cellStyle name="Обычный 10 8 3 4 2" xfId="2505" xr:uid="{00000000-0005-0000-0000-0000C7090000}"/>
    <cellStyle name="Обычный 10 8 3 4 2 2" xfId="2506" xr:uid="{00000000-0005-0000-0000-0000C8090000}"/>
    <cellStyle name="Обычный 10 8 3 4 2 2 2" xfId="2507" xr:uid="{00000000-0005-0000-0000-0000C9090000}"/>
    <cellStyle name="Обычный 10 8 3 4 2 2 2 2" xfId="2508" xr:uid="{00000000-0005-0000-0000-0000CA090000}"/>
    <cellStyle name="Обычный 10 8 3 4 2 2 3" xfId="2509" xr:uid="{00000000-0005-0000-0000-0000CB090000}"/>
    <cellStyle name="Обычный 10 8 3 4 2 3" xfId="2510" xr:uid="{00000000-0005-0000-0000-0000CC090000}"/>
    <cellStyle name="Обычный 10 8 3 4 2 3 2" xfId="2511" xr:uid="{00000000-0005-0000-0000-0000CD090000}"/>
    <cellStyle name="Обычный 10 8 3 4 2 4" xfId="2512" xr:uid="{00000000-0005-0000-0000-0000CE090000}"/>
    <cellStyle name="Обычный 10 8 3 4 3" xfId="2513" xr:uid="{00000000-0005-0000-0000-0000CF090000}"/>
    <cellStyle name="Обычный 10 8 3 4 3 2" xfId="2514" xr:uid="{00000000-0005-0000-0000-0000D0090000}"/>
    <cellStyle name="Обычный 10 8 3 4 3 2 2" xfId="2515" xr:uid="{00000000-0005-0000-0000-0000D1090000}"/>
    <cellStyle name="Обычный 10 8 3 4 3 3" xfId="2516" xr:uid="{00000000-0005-0000-0000-0000D2090000}"/>
    <cellStyle name="Обычный 10 8 3 4 4" xfId="2517" xr:uid="{00000000-0005-0000-0000-0000D3090000}"/>
    <cellStyle name="Обычный 10 8 3 4 4 2" xfId="2518" xr:uid="{00000000-0005-0000-0000-0000D4090000}"/>
    <cellStyle name="Обычный 10 8 3 4 5" xfId="2519" xr:uid="{00000000-0005-0000-0000-0000D5090000}"/>
    <cellStyle name="Обычный 10 8 3 5" xfId="2520" xr:uid="{00000000-0005-0000-0000-0000D6090000}"/>
    <cellStyle name="Обычный 10 8 3 5 2" xfId="2521" xr:uid="{00000000-0005-0000-0000-0000D7090000}"/>
    <cellStyle name="Обычный 10 8 3 5 2 2" xfId="2522" xr:uid="{00000000-0005-0000-0000-0000D8090000}"/>
    <cellStyle name="Обычный 10 8 3 5 2 2 2" xfId="2523" xr:uid="{00000000-0005-0000-0000-0000D9090000}"/>
    <cellStyle name="Обычный 10 8 3 5 2 3" xfId="2524" xr:uid="{00000000-0005-0000-0000-0000DA090000}"/>
    <cellStyle name="Обычный 10 8 3 5 3" xfId="2525" xr:uid="{00000000-0005-0000-0000-0000DB090000}"/>
    <cellStyle name="Обычный 10 8 3 5 3 2" xfId="2526" xr:uid="{00000000-0005-0000-0000-0000DC090000}"/>
    <cellStyle name="Обычный 10 8 3 5 4" xfId="2527" xr:uid="{00000000-0005-0000-0000-0000DD090000}"/>
    <cellStyle name="Обычный 10 8 3 6" xfId="2528" xr:uid="{00000000-0005-0000-0000-0000DE090000}"/>
    <cellStyle name="Обычный 10 8 3 6 2" xfId="2529" xr:uid="{00000000-0005-0000-0000-0000DF090000}"/>
    <cellStyle name="Обычный 10 8 3 6 2 2" xfId="2530" xr:uid="{00000000-0005-0000-0000-0000E0090000}"/>
    <cellStyle name="Обычный 10 8 3 6 3" xfId="2531" xr:uid="{00000000-0005-0000-0000-0000E1090000}"/>
    <cellStyle name="Обычный 10 8 3 7" xfId="2532" xr:uid="{00000000-0005-0000-0000-0000E2090000}"/>
    <cellStyle name="Обычный 10 8 3 7 2" xfId="2533" xr:uid="{00000000-0005-0000-0000-0000E3090000}"/>
    <cellStyle name="Обычный 10 8 3 8" xfId="2534" xr:uid="{00000000-0005-0000-0000-0000E4090000}"/>
    <cellStyle name="Обычный 10 8 4" xfId="2535" xr:uid="{00000000-0005-0000-0000-0000E5090000}"/>
    <cellStyle name="Обычный 10 8 4 2" xfId="2536" xr:uid="{00000000-0005-0000-0000-0000E6090000}"/>
    <cellStyle name="Обычный 10 8 4 2 2" xfId="2537" xr:uid="{00000000-0005-0000-0000-0000E7090000}"/>
    <cellStyle name="Обычный 10 8 4 2 2 2" xfId="2538" xr:uid="{00000000-0005-0000-0000-0000E8090000}"/>
    <cellStyle name="Обычный 10 8 4 2 2 2 2" xfId="2539" xr:uid="{00000000-0005-0000-0000-0000E9090000}"/>
    <cellStyle name="Обычный 10 8 4 2 2 3" xfId="2540" xr:uid="{00000000-0005-0000-0000-0000EA090000}"/>
    <cellStyle name="Обычный 10 8 4 2 3" xfId="2541" xr:uid="{00000000-0005-0000-0000-0000EB090000}"/>
    <cellStyle name="Обычный 10 8 4 2 3 2" xfId="2542" xr:uid="{00000000-0005-0000-0000-0000EC090000}"/>
    <cellStyle name="Обычный 10 8 4 2 4" xfId="2543" xr:uid="{00000000-0005-0000-0000-0000ED090000}"/>
    <cellStyle name="Обычный 10 8 4 3" xfId="2544" xr:uid="{00000000-0005-0000-0000-0000EE090000}"/>
    <cellStyle name="Обычный 10 8 4 3 2" xfId="2545" xr:uid="{00000000-0005-0000-0000-0000EF090000}"/>
    <cellStyle name="Обычный 10 8 4 3 2 2" xfId="2546" xr:uid="{00000000-0005-0000-0000-0000F0090000}"/>
    <cellStyle name="Обычный 10 8 4 3 3" xfId="2547" xr:uid="{00000000-0005-0000-0000-0000F1090000}"/>
    <cellStyle name="Обычный 10 8 4 4" xfId="2548" xr:uid="{00000000-0005-0000-0000-0000F2090000}"/>
    <cellStyle name="Обычный 10 8 4 4 2" xfId="2549" xr:uid="{00000000-0005-0000-0000-0000F3090000}"/>
    <cellStyle name="Обычный 10 8 4 5" xfId="2550" xr:uid="{00000000-0005-0000-0000-0000F4090000}"/>
    <cellStyle name="Обычный 10 8 5" xfId="2551" xr:uid="{00000000-0005-0000-0000-0000F5090000}"/>
    <cellStyle name="Обычный 10 8 5 2" xfId="2552" xr:uid="{00000000-0005-0000-0000-0000F6090000}"/>
    <cellStyle name="Обычный 10 8 5 2 2" xfId="2553" xr:uid="{00000000-0005-0000-0000-0000F7090000}"/>
    <cellStyle name="Обычный 10 8 5 2 2 2" xfId="2554" xr:uid="{00000000-0005-0000-0000-0000F8090000}"/>
    <cellStyle name="Обычный 10 8 5 2 2 2 2" xfId="2555" xr:uid="{00000000-0005-0000-0000-0000F9090000}"/>
    <cellStyle name="Обычный 10 8 5 2 2 3" xfId="2556" xr:uid="{00000000-0005-0000-0000-0000FA090000}"/>
    <cellStyle name="Обычный 10 8 5 2 3" xfId="2557" xr:uid="{00000000-0005-0000-0000-0000FB090000}"/>
    <cellStyle name="Обычный 10 8 5 2 3 2" xfId="2558" xr:uid="{00000000-0005-0000-0000-0000FC090000}"/>
    <cellStyle name="Обычный 10 8 5 2 4" xfId="2559" xr:uid="{00000000-0005-0000-0000-0000FD090000}"/>
    <cellStyle name="Обычный 10 8 5 3" xfId="2560" xr:uid="{00000000-0005-0000-0000-0000FE090000}"/>
    <cellStyle name="Обычный 10 8 5 3 2" xfId="2561" xr:uid="{00000000-0005-0000-0000-0000FF090000}"/>
    <cellStyle name="Обычный 10 8 5 3 2 2" xfId="2562" xr:uid="{00000000-0005-0000-0000-0000000A0000}"/>
    <cellStyle name="Обычный 10 8 5 3 3" xfId="2563" xr:uid="{00000000-0005-0000-0000-0000010A0000}"/>
    <cellStyle name="Обычный 10 8 5 4" xfId="2564" xr:uid="{00000000-0005-0000-0000-0000020A0000}"/>
    <cellStyle name="Обычный 10 8 5 4 2" xfId="2565" xr:uid="{00000000-0005-0000-0000-0000030A0000}"/>
    <cellStyle name="Обычный 10 8 5 5" xfId="2566" xr:uid="{00000000-0005-0000-0000-0000040A0000}"/>
    <cellStyle name="Обычный 10 8 6" xfId="2567" xr:uid="{00000000-0005-0000-0000-0000050A0000}"/>
    <cellStyle name="Обычный 10 8 6 2" xfId="2568" xr:uid="{00000000-0005-0000-0000-0000060A0000}"/>
    <cellStyle name="Обычный 10 8 6 2 2" xfId="2569" xr:uid="{00000000-0005-0000-0000-0000070A0000}"/>
    <cellStyle name="Обычный 10 8 6 2 2 2" xfId="2570" xr:uid="{00000000-0005-0000-0000-0000080A0000}"/>
    <cellStyle name="Обычный 10 8 6 2 2 2 2" xfId="2571" xr:uid="{00000000-0005-0000-0000-0000090A0000}"/>
    <cellStyle name="Обычный 10 8 6 2 2 3" xfId="2572" xr:uid="{00000000-0005-0000-0000-00000A0A0000}"/>
    <cellStyle name="Обычный 10 8 6 2 3" xfId="2573" xr:uid="{00000000-0005-0000-0000-00000B0A0000}"/>
    <cellStyle name="Обычный 10 8 6 2 3 2" xfId="2574" xr:uid="{00000000-0005-0000-0000-00000C0A0000}"/>
    <cellStyle name="Обычный 10 8 6 2 4" xfId="2575" xr:uid="{00000000-0005-0000-0000-00000D0A0000}"/>
    <cellStyle name="Обычный 10 8 6 3" xfId="2576" xr:uid="{00000000-0005-0000-0000-00000E0A0000}"/>
    <cellStyle name="Обычный 10 8 6 3 2" xfId="2577" xr:uid="{00000000-0005-0000-0000-00000F0A0000}"/>
    <cellStyle name="Обычный 10 8 6 3 2 2" xfId="2578" xr:uid="{00000000-0005-0000-0000-0000100A0000}"/>
    <cellStyle name="Обычный 10 8 6 3 3" xfId="2579" xr:uid="{00000000-0005-0000-0000-0000110A0000}"/>
    <cellStyle name="Обычный 10 8 6 4" xfId="2580" xr:uid="{00000000-0005-0000-0000-0000120A0000}"/>
    <cellStyle name="Обычный 10 8 6 4 2" xfId="2581" xr:uid="{00000000-0005-0000-0000-0000130A0000}"/>
    <cellStyle name="Обычный 10 8 6 5" xfId="2582" xr:uid="{00000000-0005-0000-0000-0000140A0000}"/>
    <cellStyle name="Обычный 10 8 7" xfId="2583" xr:uid="{00000000-0005-0000-0000-0000150A0000}"/>
    <cellStyle name="Обычный 10 8 7 2" xfId="2584" xr:uid="{00000000-0005-0000-0000-0000160A0000}"/>
    <cellStyle name="Обычный 10 8 7 2 2" xfId="2585" xr:uid="{00000000-0005-0000-0000-0000170A0000}"/>
    <cellStyle name="Обычный 10 8 7 2 2 2" xfId="2586" xr:uid="{00000000-0005-0000-0000-0000180A0000}"/>
    <cellStyle name="Обычный 10 8 7 2 3" xfId="2587" xr:uid="{00000000-0005-0000-0000-0000190A0000}"/>
    <cellStyle name="Обычный 10 8 7 3" xfId="2588" xr:uid="{00000000-0005-0000-0000-00001A0A0000}"/>
    <cellStyle name="Обычный 10 8 7 3 2" xfId="2589" xr:uid="{00000000-0005-0000-0000-00001B0A0000}"/>
    <cellStyle name="Обычный 10 8 7 4" xfId="2590" xr:uid="{00000000-0005-0000-0000-00001C0A0000}"/>
    <cellStyle name="Обычный 10 8 8" xfId="2591" xr:uid="{00000000-0005-0000-0000-00001D0A0000}"/>
    <cellStyle name="Обычный 10 8 8 2" xfId="2592" xr:uid="{00000000-0005-0000-0000-00001E0A0000}"/>
    <cellStyle name="Обычный 10 8 8 2 2" xfId="2593" xr:uid="{00000000-0005-0000-0000-00001F0A0000}"/>
    <cellStyle name="Обычный 10 8 8 3" xfId="2594" xr:uid="{00000000-0005-0000-0000-0000200A0000}"/>
    <cellStyle name="Обычный 10 8 9" xfId="2595" xr:uid="{00000000-0005-0000-0000-0000210A0000}"/>
    <cellStyle name="Обычный 10 8 9 2" xfId="2596" xr:uid="{00000000-0005-0000-0000-0000220A0000}"/>
    <cellStyle name="Обычный 10 9" xfId="2597" xr:uid="{00000000-0005-0000-0000-0000230A0000}"/>
    <cellStyle name="Обычный 10 9 10" xfId="2598" xr:uid="{00000000-0005-0000-0000-0000240A0000}"/>
    <cellStyle name="Обычный 10 9 2" xfId="2599" xr:uid="{00000000-0005-0000-0000-0000250A0000}"/>
    <cellStyle name="Обычный 10 9 2 2" xfId="2600" xr:uid="{00000000-0005-0000-0000-0000260A0000}"/>
    <cellStyle name="Обычный 10 9 2 2 2" xfId="2601" xr:uid="{00000000-0005-0000-0000-0000270A0000}"/>
    <cellStyle name="Обычный 10 9 2 2 2 2" xfId="2602" xr:uid="{00000000-0005-0000-0000-0000280A0000}"/>
    <cellStyle name="Обычный 10 9 2 2 2 2 2" xfId="2603" xr:uid="{00000000-0005-0000-0000-0000290A0000}"/>
    <cellStyle name="Обычный 10 9 2 2 2 2 2 2" xfId="2604" xr:uid="{00000000-0005-0000-0000-00002A0A0000}"/>
    <cellStyle name="Обычный 10 9 2 2 2 2 3" xfId="2605" xr:uid="{00000000-0005-0000-0000-00002B0A0000}"/>
    <cellStyle name="Обычный 10 9 2 2 2 3" xfId="2606" xr:uid="{00000000-0005-0000-0000-00002C0A0000}"/>
    <cellStyle name="Обычный 10 9 2 2 2 3 2" xfId="2607" xr:uid="{00000000-0005-0000-0000-00002D0A0000}"/>
    <cellStyle name="Обычный 10 9 2 2 2 4" xfId="2608" xr:uid="{00000000-0005-0000-0000-00002E0A0000}"/>
    <cellStyle name="Обычный 10 9 2 2 3" xfId="2609" xr:uid="{00000000-0005-0000-0000-00002F0A0000}"/>
    <cellStyle name="Обычный 10 9 2 2 3 2" xfId="2610" xr:uid="{00000000-0005-0000-0000-0000300A0000}"/>
    <cellStyle name="Обычный 10 9 2 2 3 2 2" xfId="2611" xr:uid="{00000000-0005-0000-0000-0000310A0000}"/>
    <cellStyle name="Обычный 10 9 2 2 3 3" xfId="2612" xr:uid="{00000000-0005-0000-0000-0000320A0000}"/>
    <cellStyle name="Обычный 10 9 2 2 4" xfId="2613" xr:uid="{00000000-0005-0000-0000-0000330A0000}"/>
    <cellStyle name="Обычный 10 9 2 2 4 2" xfId="2614" xr:uid="{00000000-0005-0000-0000-0000340A0000}"/>
    <cellStyle name="Обычный 10 9 2 2 5" xfId="2615" xr:uid="{00000000-0005-0000-0000-0000350A0000}"/>
    <cellStyle name="Обычный 10 9 2 3" xfId="2616" xr:uid="{00000000-0005-0000-0000-0000360A0000}"/>
    <cellStyle name="Обычный 10 9 2 3 2" xfId="2617" xr:uid="{00000000-0005-0000-0000-0000370A0000}"/>
    <cellStyle name="Обычный 10 9 2 3 2 2" xfId="2618" xr:uid="{00000000-0005-0000-0000-0000380A0000}"/>
    <cellStyle name="Обычный 10 9 2 3 2 2 2" xfId="2619" xr:uid="{00000000-0005-0000-0000-0000390A0000}"/>
    <cellStyle name="Обычный 10 9 2 3 2 2 2 2" xfId="2620" xr:uid="{00000000-0005-0000-0000-00003A0A0000}"/>
    <cellStyle name="Обычный 10 9 2 3 2 2 3" xfId="2621" xr:uid="{00000000-0005-0000-0000-00003B0A0000}"/>
    <cellStyle name="Обычный 10 9 2 3 2 3" xfId="2622" xr:uid="{00000000-0005-0000-0000-00003C0A0000}"/>
    <cellStyle name="Обычный 10 9 2 3 2 3 2" xfId="2623" xr:uid="{00000000-0005-0000-0000-00003D0A0000}"/>
    <cellStyle name="Обычный 10 9 2 3 2 4" xfId="2624" xr:uid="{00000000-0005-0000-0000-00003E0A0000}"/>
    <cellStyle name="Обычный 10 9 2 3 3" xfId="2625" xr:uid="{00000000-0005-0000-0000-00003F0A0000}"/>
    <cellStyle name="Обычный 10 9 2 3 3 2" xfId="2626" xr:uid="{00000000-0005-0000-0000-0000400A0000}"/>
    <cellStyle name="Обычный 10 9 2 3 3 2 2" xfId="2627" xr:uid="{00000000-0005-0000-0000-0000410A0000}"/>
    <cellStyle name="Обычный 10 9 2 3 3 3" xfId="2628" xr:uid="{00000000-0005-0000-0000-0000420A0000}"/>
    <cellStyle name="Обычный 10 9 2 3 4" xfId="2629" xr:uid="{00000000-0005-0000-0000-0000430A0000}"/>
    <cellStyle name="Обычный 10 9 2 3 4 2" xfId="2630" xr:uid="{00000000-0005-0000-0000-0000440A0000}"/>
    <cellStyle name="Обычный 10 9 2 3 5" xfId="2631" xr:uid="{00000000-0005-0000-0000-0000450A0000}"/>
    <cellStyle name="Обычный 10 9 2 4" xfId="2632" xr:uid="{00000000-0005-0000-0000-0000460A0000}"/>
    <cellStyle name="Обычный 10 9 2 4 2" xfId="2633" xr:uid="{00000000-0005-0000-0000-0000470A0000}"/>
    <cellStyle name="Обычный 10 9 2 4 2 2" xfId="2634" xr:uid="{00000000-0005-0000-0000-0000480A0000}"/>
    <cellStyle name="Обычный 10 9 2 4 2 2 2" xfId="2635" xr:uid="{00000000-0005-0000-0000-0000490A0000}"/>
    <cellStyle name="Обычный 10 9 2 4 2 2 2 2" xfId="2636" xr:uid="{00000000-0005-0000-0000-00004A0A0000}"/>
    <cellStyle name="Обычный 10 9 2 4 2 2 3" xfId="2637" xr:uid="{00000000-0005-0000-0000-00004B0A0000}"/>
    <cellStyle name="Обычный 10 9 2 4 2 3" xfId="2638" xr:uid="{00000000-0005-0000-0000-00004C0A0000}"/>
    <cellStyle name="Обычный 10 9 2 4 2 3 2" xfId="2639" xr:uid="{00000000-0005-0000-0000-00004D0A0000}"/>
    <cellStyle name="Обычный 10 9 2 4 2 4" xfId="2640" xr:uid="{00000000-0005-0000-0000-00004E0A0000}"/>
    <cellStyle name="Обычный 10 9 2 4 3" xfId="2641" xr:uid="{00000000-0005-0000-0000-00004F0A0000}"/>
    <cellStyle name="Обычный 10 9 2 4 3 2" xfId="2642" xr:uid="{00000000-0005-0000-0000-0000500A0000}"/>
    <cellStyle name="Обычный 10 9 2 4 3 2 2" xfId="2643" xr:uid="{00000000-0005-0000-0000-0000510A0000}"/>
    <cellStyle name="Обычный 10 9 2 4 3 3" xfId="2644" xr:uid="{00000000-0005-0000-0000-0000520A0000}"/>
    <cellStyle name="Обычный 10 9 2 4 4" xfId="2645" xr:uid="{00000000-0005-0000-0000-0000530A0000}"/>
    <cellStyle name="Обычный 10 9 2 4 4 2" xfId="2646" xr:uid="{00000000-0005-0000-0000-0000540A0000}"/>
    <cellStyle name="Обычный 10 9 2 4 5" xfId="2647" xr:uid="{00000000-0005-0000-0000-0000550A0000}"/>
    <cellStyle name="Обычный 10 9 2 5" xfId="2648" xr:uid="{00000000-0005-0000-0000-0000560A0000}"/>
    <cellStyle name="Обычный 10 9 2 5 2" xfId="2649" xr:uid="{00000000-0005-0000-0000-0000570A0000}"/>
    <cellStyle name="Обычный 10 9 2 5 2 2" xfId="2650" xr:uid="{00000000-0005-0000-0000-0000580A0000}"/>
    <cellStyle name="Обычный 10 9 2 5 2 2 2" xfId="2651" xr:uid="{00000000-0005-0000-0000-0000590A0000}"/>
    <cellStyle name="Обычный 10 9 2 5 2 3" xfId="2652" xr:uid="{00000000-0005-0000-0000-00005A0A0000}"/>
    <cellStyle name="Обычный 10 9 2 5 3" xfId="2653" xr:uid="{00000000-0005-0000-0000-00005B0A0000}"/>
    <cellStyle name="Обычный 10 9 2 5 3 2" xfId="2654" xr:uid="{00000000-0005-0000-0000-00005C0A0000}"/>
    <cellStyle name="Обычный 10 9 2 5 4" xfId="2655" xr:uid="{00000000-0005-0000-0000-00005D0A0000}"/>
    <cellStyle name="Обычный 10 9 2 6" xfId="2656" xr:uid="{00000000-0005-0000-0000-00005E0A0000}"/>
    <cellStyle name="Обычный 10 9 2 6 2" xfId="2657" xr:uid="{00000000-0005-0000-0000-00005F0A0000}"/>
    <cellStyle name="Обычный 10 9 2 6 2 2" xfId="2658" xr:uid="{00000000-0005-0000-0000-0000600A0000}"/>
    <cellStyle name="Обычный 10 9 2 6 3" xfId="2659" xr:uid="{00000000-0005-0000-0000-0000610A0000}"/>
    <cellStyle name="Обычный 10 9 2 7" xfId="2660" xr:uid="{00000000-0005-0000-0000-0000620A0000}"/>
    <cellStyle name="Обычный 10 9 2 7 2" xfId="2661" xr:uid="{00000000-0005-0000-0000-0000630A0000}"/>
    <cellStyle name="Обычный 10 9 2 8" xfId="2662" xr:uid="{00000000-0005-0000-0000-0000640A0000}"/>
    <cellStyle name="Обычный 10 9 3" xfId="2663" xr:uid="{00000000-0005-0000-0000-0000650A0000}"/>
    <cellStyle name="Обычный 10 9 3 2" xfId="2664" xr:uid="{00000000-0005-0000-0000-0000660A0000}"/>
    <cellStyle name="Обычный 10 9 3 2 2" xfId="2665" xr:uid="{00000000-0005-0000-0000-0000670A0000}"/>
    <cellStyle name="Обычный 10 9 3 2 2 2" xfId="2666" xr:uid="{00000000-0005-0000-0000-0000680A0000}"/>
    <cellStyle name="Обычный 10 9 3 2 2 2 2" xfId="2667" xr:uid="{00000000-0005-0000-0000-0000690A0000}"/>
    <cellStyle name="Обычный 10 9 3 2 2 2 2 2" xfId="2668" xr:uid="{00000000-0005-0000-0000-00006A0A0000}"/>
    <cellStyle name="Обычный 10 9 3 2 2 2 3" xfId="2669" xr:uid="{00000000-0005-0000-0000-00006B0A0000}"/>
    <cellStyle name="Обычный 10 9 3 2 2 3" xfId="2670" xr:uid="{00000000-0005-0000-0000-00006C0A0000}"/>
    <cellStyle name="Обычный 10 9 3 2 2 3 2" xfId="2671" xr:uid="{00000000-0005-0000-0000-00006D0A0000}"/>
    <cellStyle name="Обычный 10 9 3 2 2 4" xfId="2672" xr:uid="{00000000-0005-0000-0000-00006E0A0000}"/>
    <cellStyle name="Обычный 10 9 3 2 3" xfId="2673" xr:uid="{00000000-0005-0000-0000-00006F0A0000}"/>
    <cellStyle name="Обычный 10 9 3 2 3 2" xfId="2674" xr:uid="{00000000-0005-0000-0000-0000700A0000}"/>
    <cellStyle name="Обычный 10 9 3 2 3 2 2" xfId="2675" xr:uid="{00000000-0005-0000-0000-0000710A0000}"/>
    <cellStyle name="Обычный 10 9 3 2 3 3" xfId="2676" xr:uid="{00000000-0005-0000-0000-0000720A0000}"/>
    <cellStyle name="Обычный 10 9 3 2 4" xfId="2677" xr:uid="{00000000-0005-0000-0000-0000730A0000}"/>
    <cellStyle name="Обычный 10 9 3 2 4 2" xfId="2678" xr:uid="{00000000-0005-0000-0000-0000740A0000}"/>
    <cellStyle name="Обычный 10 9 3 2 5" xfId="2679" xr:uid="{00000000-0005-0000-0000-0000750A0000}"/>
    <cellStyle name="Обычный 10 9 3 3" xfId="2680" xr:uid="{00000000-0005-0000-0000-0000760A0000}"/>
    <cellStyle name="Обычный 10 9 3 3 2" xfId="2681" xr:uid="{00000000-0005-0000-0000-0000770A0000}"/>
    <cellStyle name="Обычный 10 9 3 3 2 2" xfId="2682" xr:uid="{00000000-0005-0000-0000-0000780A0000}"/>
    <cellStyle name="Обычный 10 9 3 3 2 2 2" xfId="2683" xr:uid="{00000000-0005-0000-0000-0000790A0000}"/>
    <cellStyle name="Обычный 10 9 3 3 2 2 2 2" xfId="2684" xr:uid="{00000000-0005-0000-0000-00007A0A0000}"/>
    <cellStyle name="Обычный 10 9 3 3 2 2 3" xfId="2685" xr:uid="{00000000-0005-0000-0000-00007B0A0000}"/>
    <cellStyle name="Обычный 10 9 3 3 2 3" xfId="2686" xr:uid="{00000000-0005-0000-0000-00007C0A0000}"/>
    <cellStyle name="Обычный 10 9 3 3 2 3 2" xfId="2687" xr:uid="{00000000-0005-0000-0000-00007D0A0000}"/>
    <cellStyle name="Обычный 10 9 3 3 2 4" xfId="2688" xr:uid="{00000000-0005-0000-0000-00007E0A0000}"/>
    <cellStyle name="Обычный 10 9 3 3 3" xfId="2689" xr:uid="{00000000-0005-0000-0000-00007F0A0000}"/>
    <cellStyle name="Обычный 10 9 3 3 3 2" xfId="2690" xr:uid="{00000000-0005-0000-0000-0000800A0000}"/>
    <cellStyle name="Обычный 10 9 3 3 3 2 2" xfId="2691" xr:uid="{00000000-0005-0000-0000-0000810A0000}"/>
    <cellStyle name="Обычный 10 9 3 3 3 3" xfId="2692" xr:uid="{00000000-0005-0000-0000-0000820A0000}"/>
    <cellStyle name="Обычный 10 9 3 3 4" xfId="2693" xr:uid="{00000000-0005-0000-0000-0000830A0000}"/>
    <cellStyle name="Обычный 10 9 3 3 4 2" xfId="2694" xr:uid="{00000000-0005-0000-0000-0000840A0000}"/>
    <cellStyle name="Обычный 10 9 3 3 5" xfId="2695" xr:uid="{00000000-0005-0000-0000-0000850A0000}"/>
    <cellStyle name="Обычный 10 9 3 4" xfId="2696" xr:uid="{00000000-0005-0000-0000-0000860A0000}"/>
    <cellStyle name="Обычный 10 9 3 4 2" xfId="2697" xr:uid="{00000000-0005-0000-0000-0000870A0000}"/>
    <cellStyle name="Обычный 10 9 3 4 2 2" xfId="2698" xr:uid="{00000000-0005-0000-0000-0000880A0000}"/>
    <cellStyle name="Обычный 10 9 3 4 2 2 2" xfId="2699" xr:uid="{00000000-0005-0000-0000-0000890A0000}"/>
    <cellStyle name="Обычный 10 9 3 4 2 2 2 2" xfId="2700" xr:uid="{00000000-0005-0000-0000-00008A0A0000}"/>
    <cellStyle name="Обычный 10 9 3 4 2 2 3" xfId="2701" xr:uid="{00000000-0005-0000-0000-00008B0A0000}"/>
    <cellStyle name="Обычный 10 9 3 4 2 3" xfId="2702" xr:uid="{00000000-0005-0000-0000-00008C0A0000}"/>
    <cellStyle name="Обычный 10 9 3 4 2 3 2" xfId="2703" xr:uid="{00000000-0005-0000-0000-00008D0A0000}"/>
    <cellStyle name="Обычный 10 9 3 4 2 4" xfId="2704" xr:uid="{00000000-0005-0000-0000-00008E0A0000}"/>
    <cellStyle name="Обычный 10 9 3 4 3" xfId="2705" xr:uid="{00000000-0005-0000-0000-00008F0A0000}"/>
    <cellStyle name="Обычный 10 9 3 4 3 2" xfId="2706" xr:uid="{00000000-0005-0000-0000-0000900A0000}"/>
    <cellStyle name="Обычный 10 9 3 4 3 2 2" xfId="2707" xr:uid="{00000000-0005-0000-0000-0000910A0000}"/>
    <cellStyle name="Обычный 10 9 3 4 3 3" xfId="2708" xr:uid="{00000000-0005-0000-0000-0000920A0000}"/>
    <cellStyle name="Обычный 10 9 3 4 4" xfId="2709" xr:uid="{00000000-0005-0000-0000-0000930A0000}"/>
    <cellStyle name="Обычный 10 9 3 4 4 2" xfId="2710" xr:uid="{00000000-0005-0000-0000-0000940A0000}"/>
    <cellStyle name="Обычный 10 9 3 4 5" xfId="2711" xr:uid="{00000000-0005-0000-0000-0000950A0000}"/>
    <cellStyle name="Обычный 10 9 3 5" xfId="2712" xr:uid="{00000000-0005-0000-0000-0000960A0000}"/>
    <cellStyle name="Обычный 10 9 3 5 2" xfId="2713" xr:uid="{00000000-0005-0000-0000-0000970A0000}"/>
    <cellStyle name="Обычный 10 9 3 5 2 2" xfId="2714" xr:uid="{00000000-0005-0000-0000-0000980A0000}"/>
    <cellStyle name="Обычный 10 9 3 5 2 2 2" xfId="2715" xr:uid="{00000000-0005-0000-0000-0000990A0000}"/>
    <cellStyle name="Обычный 10 9 3 5 2 3" xfId="2716" xr:uid="{00000000-0005-0000-0000-00009A0A0000}"/>
    <cellStyle name="Обычный 10 9 3 5 3" xfId="2717" xr:uid="{00000000-0005-0000-0000-00009B0A0000}"/>
    <cellStyle name="Обычный 10 9 3 5 3 2" xfId="2718" xr:uid="{00000000-0005-0000-0000-00009C0A0000}"/>
    <cellStyle name="Обычный 10 9 3 5 4" xfId="2719" xr:uid="{00000000-0005-0000-0000-00009D0A0000}"/>
    <cellStyle name="Обычный 10 9 3 6" xfId="2720" xr:uid="{00000000-0005-0000-0000-00009E0A0000}"/>
    <cellStyle name="Обычный 10 9 3 6 2" xfId="2721" xr:uid="{00000000-0005-0000-0000-00009F0A0000}"/>
    <cellStyle name="Обычный 10 9 3 6 2 2" xfId="2722" xr:uid="{00000000-0005-0000-0000-0000A00A0000}"/>
    <cellStyle name="Обычный 10 9 3 6 3" xfId="2723" xr:uid="{00000000-0005-0000-0000-0000A10A0000}"/>
    <cellStyle name="Обычный 10 9 3 7" xfId="2724" xr:uid="{00000000-0005-0000-0000-0000A20A0000}"/>
    <cellStyle name="Обычный 10 9 3 7 2" xfId="2725" xr:uid="{00000000-0005-0000-0000-0000A30A0000}"/>
    <cellStyle name="Обычный 10 9 3 8" xfId="2726" xr:uid="{00000000-0005-0000-0000-0000A40A0000}"/>
    <cellStyle name="Обычный 10 9 4" xfId="2727" xr:uid="{00000000-0005-0000-0000-0000A50A0000}"/>
    <cellStyle name="Обычный 10 9 4 2" xfId="2728" xr:uid="{00000000-0005-0000-0000-0000A60A0000}"/>
    <cellStyle name="Обычный 10 9 4 2 2" xfId="2729" xr:uid="{00000000-0005-0000-0000-0000A70A0000}"/>
    <cellStyle name="Обычный 10 9 4 2 2 2" xfId="2730" xr:uid="{00000000-0005-0000-0000-0000A80A0000}"/>
    <cellStyle name="Обычный 10 9 4 2 2 2 2" xfId="2731" xr:uid="{00000000-0005-0000-0000-0000A90A0000}"/>
    <cellStyle name="Обычный 10 9 4 2 2 3" xfId="2732" xr:uid="{00000000-0005-0000-0000-0000AA0A0000}"/>
    <cellStyle name="Обычный 10 9 4 2 3" xfId="2733" xr:uid="{00000000-0005-0000-0000-0000AB0A0000}"/>
    <cellStyle name="Обычный 10 9 4 2 3 2" xfId="2734" xr:uid="{00000000-0005-0000-0000-0000AC0A0000}"/>
    <cellStyle name="Обычный 10 9 4 2 4" xfId="2735" xr:uid="{00000000-0005-0000-0000-0000AD0A0000}"/>
    <cellStyle name="Обычный 10 9 4 3" xfId="2736" xr:uid="{00000000-0005-0000-0000-0000AE0A0000}"/>
    <cellStyle name="Обычный 10 9 4 3 2" xfId="2737" xr:uid="{00000000-0005-0000-0000-0000AF0A0000}"/>
    <cellStyle name="Обычный 10 9 4 3 2 2" xfId="2738" xr:uid="{00000000-0005-0000-0000-0000B00A0000}"/>
    <cellStyle name="Обычный 10 9 4 3 3" xfId="2739" xr:uid="{00000000-0005-0000-0000-0000B10A0000}"/>
    <cellStyle name="Обычный 10 9 4 4" xfId="2740" xr:uid="{00000000-0005-0000-0000-0000B20A0000}"/>
    <cellStyle name="Обычный 10 9 4 4 2" xfId="2741" xr:uid="{00000000-0005-0000-0000-0000B30A0000}"/>
    <cellStyle name="Обычный 10 9 4 5" xfId="2742" xr:uid="{00000000-0005-0000-0000-0000B40A0000}"/>
    <cellStyle name="Обычный 10 9 5" xfId="2743" xr:uid="{00000000-0005-0000-0000-0000B50A0000}"/>
    <cellStyle name="Обычный 10 9 5 2" xfId="2744" xr:uid="{00000000-0005-0000-0000-0000B60A0000}"/>
    <cellStyle name="Обычный 10 9 5 2 2" xfId="2745" xr:uid="{00000000-0005-0000-0000-0000B70A0000}"/>
    <cellStyle name="Обычный 10 9 5 2 2 2" xfId="2746" xr:uid="{00000000-0005-0000-0000-0000B80A0000}"/>
    <cellStyle name="Обычный 10 9 5 2 2 2 2" xfId="2747" xr:uid="{00000000-0005-0000-0000-0000B90A0000}"/>
    <cellStyle name="Обычный 10 9 5 2 2 3" xfId="2748" xr:uid="{00000000-0005-0000-0000-0000BA0A0000}"/>
    <cellStyle name="Обычный 10 9 5 2 3" xfId="2749" xr:uid="{00000000-0005-0000-0000-0000BB0A0000}"/>
    <cellStyle name="Обычный 10 9 5 2 3 2" xfId="2750" xr:uid="{00000000-0005-0000-0000-0000BC0A0000}"/>
    <cellStyle name="Обычный 10 9 5 2 4" xfId="2751" xr:uid="{00000000-0005-0000-0000-0000BD0A0000}"/>
    <cellStyle name="Обычный 10 9 5 3" xfId="2752" xr:uid="{00000000-0005-0000-0000-0000BE0A0000}"/>
    <cellStyle name="Обычный 10 9 5 3 2" xfId="2753" xr:uid="{00000000-0005-0000-0000-0000BF0A0000}"/>
    <cellStyle name="Обычный 10 9 5 3 2 2" xfId="2754" xr:uid="{00000000-0005-0000-0000-0000C00A0000}"/>
    <cellStyle name="Обычный 10 9 5 3 3" xfId="2755" xr:uid="{00000000-0005-0000-0000-0000C10A0000}"/>
    <cellStyle name="Обычный 10 9 5 4" xfId="2756" xr:uid="{00000000-0005-0000-0000-0000C20A0000}"/>
    <cellStyle name="Обычный 10 9 5 4 2" xfId="2757" xr:uid="{00000000-0005-0000-0000-0000C30A0000}"/>
    <cellStyle name="Обычный 10 9 5 5" xfId="2758" xr:uid="{00000000-0005-0000-0000-0000C40A0000}"/>
    <cellStyle name="Обычный 10 9 6" xfId="2759" xr:uid="{00000000-0005-0000-0000-0000C50A0000}"/>
    <cellStyle name="Обычный 10 9 6 2" xfId="2760" xr:uid="{00000000-0005-0000-0000-0000C60A0000}"/>
    <cellStyle name="Обычный 10 9 6 2 2" xfId="2761" xr:uid="{00000000-0005-0000-0000-0000C70A0000}"/>
    <cellStyle name="Обычный 10 9 6 2 2 2" xfId="2762" xr:uid="{00000000-0005-0000-0000-0000C80A0000}"/>
    <cellStyle name="Обычный 10 9 6 2 2 2 2" xfId="2763" xr:uid="{00000000-0005-0000-0000-0000C90A0000}"/>
    <cellStyle name="Обычный 10 9 6 2 2 3" xfId="2764" xr:uid="{00000000-0005-0000-0000-0000CA0A0000}"/>
    <cellStyle name="Обычный 10 9 6 2 3" xfId="2765" xr:uid="{00000000-0005-0000-0000-0000CB0A0000}"/>
    <cellStyle name="Обычный 10 9 6 2 3 2" xfId="2766" xr:uid="{00000000-0005-0000-0000-0000CC0A0000}"/>
    <cellStyle name="Обычный 10 9 6 2 4" xfId="2767" xr:uid="{00000000-0005-0000-0000-0000CD0A0000}"/>
    <cellStyle name="Обычный 10 9 6 3" xfId="2768" xr:uid="{00000000-0005-0000-0000-0000CE0A0000}"/>
    <cellStyle name="Обычный 10 9 6 3 2" xfId="2769" xr:uid="{00000000-0005-0000-0000-0000CF0A0000}"/>
    <cellStyle name="Обычный 10 9 6 3 2 2" xfId="2770" xr:uid="{00000000-0005-0000-0000-0000D00A0000}"/>
    <cellStyle name="Обычный 10 9 6 3 3" xfId="2771" xr:uid="{00000000-0005-0000-0000-0000D10A0000}"/>
    <cellStyle name="Обычный 10 9 6 4" xfId="2772" xr:uid="{00000000-0005-0000-0000-0000D20A0000}"/>
    <cellStyle name="Обычный 10 9 6 4 2" xfId="2773" xr:uid="{00000000-0005-0000-0000-0000D30A0000}"/>
    <cellStyle name="Обычный 10 9 6 5" xfId="2774" xr:uid="{00000000-0005-0000-0000-0000D40A0000}"/>
    <cellStyle name="Обычный 10 9 7" xfId="2775" xr:uid="{00000000-0005-0000-0000-0000D50A0000}"/>
    <cellStyle name="Обычный 10 9 7 2" xfId="2776" xr:uid="{00000000-0005-0000-0000-0000D60A0000}"/>
    <cellStyle name="Обычный 10 9 7 2 2" xfId="2777" xr:uid="{00000000-0005-0000-0000-0000D70A0000}"/>
    <cellStyle name="Обычный 10 9 7 2 2 2" xfId="2778" xr:uid="{00000000-0005-0000-0000-0000D80A0000}"/>
    <cellStyle name="Обычный 10 9 7 2 3" xfId="2779" xr:uid="{00000000-0005-0000-0000-0000D90A0000}"/>
    <cellStyle name="Обычный 10 9 7 3" xfId="2780" xr:uid="{00000000-0005-0000-0000-0000DA0A0000}"/>
    <cellStyle name="Обычный 10 9 7 3 2" xfId="2781" xr:uid="{00000000-0005-0000-0000-0000DB0A0000}"/>
    <cellStyle name="Обычный 10 9 7 4" xfId="2782" xr:uid="{00000000-0005-0000-0000-0000DC0A0000}"/>
    <cellStyle name="Обычный 10 9 8" xfId="2783" xr:uid="{00000000-0005-0000-0000-0000DD0A0000}"/>
    <cellStyle name="Обычный 10 9 8 2" xfId="2784" xr:uid="{00000000-0005-0000-0000-0000DE0A0000}"/>
    <cellStyle name="Обычный 10 9 8 2 2" xfId="2785" xr:uid="{00000000-0005-0000-0000-0000DF0A0000}"/>
    <cellStyle name="Обычный 10 9 8 3" xfId="2786" xr:uid="{00000000-0005-0000-0000-0000E00A0000}"/>
    <cellStyle name="Обычный 10 9 9" xfId="2787" xr:uid="{00000000-0005-0000-0000-0000E10A0000}"/>
    <cellStyle name="Обычный 10 9 9 2" xfId="2788" xr:uid="{00000000-0005-0000-0000-0000E20A0000}"/>
    <cellStyle name="Обычный 11" xfId="2789" xr:uid="{00000000-0005-0000-0000-0000E30A0000}"/>
    <cellStyle name="Обычный 11 2" xfId="2790" xr:uid="{00000000-0005-0000-0000-0000E40A0000}"/>
    <cellStyle name="Обычный 12" xfId="2791" xr:uid="{00000000-0005-0000-0000-0000E50A0000}"/>
    <cellStyle name="Обычный 13" xfId="2" xr:uid="{00000000-0005-0000-0000-0000E60A0000}"/>
    <cellStyle name="Обычный 16 2" xfId="2792" xr:uid="{00000000-0005-0000-0000-0000E70A0000}"/>
    <cellStyle name="Обычный 16 2 2" xfId="2793" xr:uid="{00000000-0005-0000-0000-0000E80A0000}"/>
    <cellStyle name="Обычный 18" xfId="2794" xr:uid="{00000000-0005-0000-0000-0000E90A0000}"/>
    <cellStyle name="Обычный 2" xfId="2795" xr:uid="{00000000-0005-0000-0000-0000EA0A0000}"/>
    <cellStyle name="Обычный 2 2" xfId="2796" xr:uid="{00000000-0005-0000-0000-0000EB0A0000}"/>
    <cellStyle name="Обычный 2 2 2" xfId="2797" xr:uid="{00000000-0005-0000-0000-0000EC0A0000}"/>
    <cellStyle name="Обычный 2 3" xfId="2798" xr:uid="{00000000-0005-0000-0000-0000ED0A0000}"/>
    <cellStyle name="Обычный 2 39" xfId="2799" xr:uid="{00000000-0005-0000-0000-0000EE0A0000}"/>
    <cellStyle name="Обычный 2 4" xfId="2800" xr:uid="{00000000-0005-0000-0000-0000EF0A0000}"/>
    <cellStyle name="Обычный 2 4 2" xfId="2801" xr:uid="{00000000-0005-0000-0000-0000F00A0000}"/>
    <cellStyle name="Обычный 2 5" xfId="2802" xr:uid="{00000000-0005-0000-0000-0000F10A0000}"/>
    <cellStyle name="Обычный 2 6" xfId="2803" xr:uid="{00000000-0005-0000-0000-0000F20A0000}"/>
    <cellStyle name="Обычный 2_КС Ага доп.смета (сдвижка пути)" xfId="2804" xr:uid="{00000000-0005-0000-0000-0000F30A0000}"/>
    <cellStyle name="Обычный 3" xfId="2805" xr:uid="{00000000-0005-0000-0000-0000F40A0000}"/>
    <cellStyle name="Обычный 3 2" xfId="2806" xr:uid="{00000000-0005-0000-0000-0000F50A0000}"/>
    <cellStyle name="Обычный 3 2 2" xfId="2807" xr:uid="{00000000-0005-0000-0000-0000F60A0000}"/>
    <cellStyle name="Обычный 3 3" xfId="2808" xr:uid="{00000000-0005-0000-0000-0000F70A0000}"/>
    <cellStyle name="Обычный 3 4" xfId="2809" xr:uid="{00000000-0005-0000-0000-0000F80A0000}"/>
    <cellStyle name="Обычный 4" xfId="2810" xr:uid="{00000000-0005-0000-0000-0000F90A0000}"/>
    <cellStyle name="Обычный 4 2" xfId="2811" xr:uid="{00000000-0005-0000-0000-0000FA0A0000}"/>
    <cellStyle name="Обычный 4 3" xfId="2812" xr:uid="{00000000-0005-0000-0000-0000FB0A0000}"/>
    <cellStyle name="Обычный 4 4" xfId="2813" xr:uid="{00000000-0005-0000-0000-0000FC0A0000}"/>
    <cellStyle name="Обычный 4 4 2" xfId="2814" xr:uid="{00000000-0005-0000-0000-0000FD0A0000}"/>
    <cellStyle name="Обычный 5" xfId="2815" xr:uid="{00000000-0005-0000-0000-0000FE0A0000}"/>
    <cellStyle name="Обычный 5 2" xfId="2816" xr:uid="{00000000-0005-0000-0000-0000FF0A0000}"/>
    <cellStyle name="Обычный 5 2 2" xfId="2817" xr:uid="{00000000-0005-0000-0000-0000000B0000}"/>
    <cellStyle name="Обычный 5 2 3" xfId="2818" xr:uid="{00000000-0005-0000-0000-0000010B0000}"/>
    <cellStyle name="Обычный 5 3" xfId="2819" xr:uid="{00000000-0005-0000-0000-0000020B0000}"/>
    <cellStyle name="Обычный 5 4" xfId="2820" xr:uid="{00000000-0005-0000-0000-0000030B0000}"/>
    <cellStyle name="Обычный 5 5" xfId="2821" xr:uid="{00000000-0005-0000-0000-0000040B0000}"/>
    <cellStyle name="Обычный 6" xfId="2822" xr:uid="{00000000-0005-0000-0000-0000050B0000}"/>
    <cellStyle name="Обычный 6 2" xfId="2823" xr:uid="{00000000-0005-0000-0000-0000060B0000}"/>
    <cellStyle name="Обычный 6 2 2" xfId="2824" xr:uid="{00000000-0005-0000-0000-0000070B0000}"/>
    <cellStyle name="Обычный 6 2 2 2" xfId="2825" xr:uid="{00000000-0005-0000-0000-0000080B0000}"/>
    <cellStyle name="Обычный 6 2 2 2 2" xfId="2826" xr:uid="{00000000-0005-0000-0000-0000090B0000}"/>
    <cellStyle name="Обычный 6 2 2 3" xfId="2827" xr:uid="{00000000-0005-0000-0000-00000A0B0000}"/>
    <cellStyle name="Обычный 6 2 3" xfId="2828" xr:uid="{00000000-0005-0000-0000-00000B0B0000}"/>
    <cellStyle name="Обычный 6 2 3 2" xfId="2829" xr:uid="{00000000-0005-0000-0000-00000C0B0000}"/>
    <cellStyle name="Обычный 6 2 4" xfId="2830" xr:uid="{00000000-0005-0000-0000-00000D0B0000}"/>
    <cellStyle name="Обычный 6 3" xfId="2831" xr:uid="{00000000-0005-0000-0000-00000E0B0000}"/>
    <cellStyle name="Обычный 6 3 2" xfId="2832" xr:uid="{00000000-0005-0000-0000-00000F0B0000}"/>
    <cellStyle name="Обычный 6 3 2 2" xfId="2833" xr:uid="{00000000-0005-0000-0000-0000100B0000}"/>
    <cellStyle name="Обычный 6 3 3" xfId="2834" xr:uid="{00000000-0005-0000-0000-0000110B0000}"/>
    <cellStyle name="Обычный 6 4" xfId="2835" xr:uid="{00000000-0005-0000-0000-0000120B0000}"/>
    <cellStyle name="Обычный 6 4 2" xfId="2836" xr:uid="{00000000-0005-0000-0000-0000130B0000}"/>
    <cellStyle name="Обычный 6 5" xfId="2837" xr:uid="{00000000-0005-0000-0000-0000140B0000}"/>
    <cellStyle name="Обычный 6 6" xfId="2838" xr:uid="{00000000-0005-0000-0000-0000150B0000}"/>
    <cellStyle name="Обычный 7" xfId="2839" xr:uid="{00000000-0005-0000-0000-0000160B0000}"/>
    <cellStyle name="Обычный 7 2" xfId="2840" xr:uid="{00000000-0005-0000-0000-0000170B0000}"/>
    <cellStyle name="Обычный 7 2 2" xfId="2841" xr:uid="{00000000-0005-0000-0000-0000180B0000}"/>
    <cellStyle name="Обычный 7 2 2 2" xfId="2842" xr:uid="{00000000-0005-0000-0000-0000190B0000}"/>
    <cellStyle name="Обычный 7 2 2 2 2" xfId="2843" xr:uid="{00000000-0005-0000-0000-00001A0B0000}"/>
    <cellStyle name="Обычный 7 2 2 3" xfId="2844" xr:uid="{00000000-0005-0000-0000-00001B0B0000}"/>
    <cellStyle name="Обычный 7 2 3" xfId="2845" xr:uid="{00000000-0005-0000-0000-00001C0B0000}"/>
    <cellStyle name="Обычный 7 2 3 2" xfId="2846" xr:uid="{00000000-0005-0000-0000-00001D0B0000}"/>
    <cellStyle name="Обычный 7 2 4" xfId="2847" xr:uid="{00000000-0005-0000-0000-00001E0B0000}"/>
    <cellStyle name="Обычный 7 3" xfId="2848" xr:uid="{00000000-0005-0000-0000-00001F0B0000}"/>
    <cellStyle name="Обычный 7 3 2" xfId="2849" xr:uid="{00000000-0005-0000-0000-0000200B0000}"/>
    <cellStyle name="Обычный 7 3 2 2" xfId="2850" xr:uid="{00000000-0005-0000-0000-0000210B0000}"/>
    <cellStyle name="Обычный 7 3 3" xfId="2851" xr:uid="{00000000-0005-0000-0000-0000220B0000}"/>
    <cellStyle name="Обычный 7 4" xfId="2852" xr:uid="{00000000-0005-0000-0000-0000230B0000}"/>
    <cellStyle name="Обычный 7 4 2" xfId="2853" xr:uid="{00000000-0005-0000-0000-0000240B0000}"/>
    <cellStyle name="Обычный 7 5" xfId="2854" xr:uid="{00000000-0005-0000-0000-0000250B0000}"/>
    <cellStyle name="Обычный 8" xfId="2855" xr:uid="{00000000-0005-0000-0000-0000260B0000}"/>
    <cellStyle name="Обычный 8 2" xfId="2856" xr:uid="{00000000-0005-0000-0000-0000270B0000}"/>
    <cellStyle name="Обычный 8 2 2" xfId="2857" xr:uid="{00000000-0005-0000-0000-0000280B0000}"/>
    <cellStyle name="Обычный 8 2 2 2" xfId="2858" xr:uid="{00000000-0005-0000-0000-0000290B0000}"/>
    <cellStyle name="Обычный 8 2 2 2 2" xfId="2859" xr:uid="{00000000-0005-0000-0000-00002A0B0000}"/>
    <cellStyle name="Обычный 8 2 2 3" xfId="2860" xr:uid="{00000000-0005-0000-0000-00002B0B0000}"/>
    <cellStyle name="Обычный 8 2 3" xfId="2861" xr:uid="{00000000-0005-0000-0000-00002C0B0000}"/>
    <cellStyle name="Обычный 8 2 3 2" xfId="2862" xr:uid="{00000000-0005-0000-0000-00002D0B0000}"/>
    <cellStyle name="Обычный 8 2 4" xfId="2863" xr:uid="{00000000-0005-0000-0000-00002E0B0000}"/>
    <cellStyle name="Обычный 8 3" xfId="2864" xr:uid="{00000000-0005-0000-0000-00002F0B0000}"/>
    <cellStyle name="Обычный 8 3 2" xfId="2865" xr:uid="{00000000-0005-0000-0000-0000300B0000}"/>
    <cellStyle name="Обычный 8 3 2 2" xfId="2866" xr:uid="{00000000-0005-0000-0000-0000310B0000}"/>
    <cellStyle name="Обычный 8 3 3" xfId="2867" xr:uid="{00000000-0005-0000-0000-0000320B0000}"/>
    <cellStyle name="Обычный 8 4" xfId="2868" xr:uid="{00000000-0005-0000-0000-0000330B0000}"/>
    <cellStyle name="Обычный 8 4 2" xfId="2869" xr:uid="{00000000-0005-0000-0000-0000340B0000}"/>
    <cellStyle name="Обычный 8 5" xfId="2870" xr:uid="{00000000-0005-0000-0000-0000350B0000}"/>
    <cellStyle name="Обычный 9" xfId="2871" xr:uid="{00000000-0005-0000-0000-0000360B0000}"/>
    <cellStyle name="Обычный 9 2" xfId="2872" xr:uid="{00000000-0005-0000-0000-0000370B0000}"/>
    <cellStyle name="Обычный 9 2 2" xfId="2873" xr:uid="{00000000-0005-0000-0000-0000380B0000}"/>
    <cellStyle name="Обычный 9 2 2 2" xfId="2874" xr:uid="{00000000-0005-0000-0000-0000390B0000}"/>
    <cellStyle name="Обычный 9 2 2 2 2" xfId="2875" xr:uid="{00000000-0005-0000-0000-00003A0B0000}"/>
    <cellStyle name="Обычный 9 2 2 2 2 2" xfId="2876" xr:uid="{00000000-0005-0000-0000-00003B0B0000}"/>
    <cellStyle name="Обычный 9 2 2 2 3" xfId="2877" xr:uid="{00000000-0005-0000-0000-00003C0B0000}"/>
    <cellStyle name="Обычный 9 2 2 3" xfId="2878" xr:uid="{00000000-0005-0000-0000-00003D0B0000}"/>
    <cellStyle name="Обычный 9 2 2 3 2" xfId="2879" xr:uid="{00000000-0005-0000-0000-00003E0B0000}"/>
    <cellStyle name="Обычный 9 2 2 4" xfId="2880" xr:uid="{00000000-0005-0000-0000-00003F0B0000}"/>
    <cellStyle name="Обычный 9 2 3" xfId="2881" xr:uid="{00000000-0005-0000-0000-0000400B0000}"/>
    <cellStyle name="Обычный 9 2 3 2" xfId="2882" xr:uid="{00000000-0005-0000-0000-0000410B0000}"/>
    <cellStyle name="Обычный 9 2 3 2 2" xfId="2883" xr:uid="{00000000-0005-0000-0000-0000420B0000}"/>
    <cellStyle name="Обычный 9 2 3 3" xfId="2884" xr:uid="{00000000-0005-0000-0000-0000430B0000}"/>
    <cellStyle name="Обычный 9 2 4" xfId="2885" xr:uid="{00000000-0005-0000-0000-0000440B0000}"/>
    <cellStyle name="Обычный 9 2 4 2" xfId="2886" xr:uid="{00000000-0005-0000-0000-0000450B0000}"/>
    <cellStyle name="Обычный 9 2 5" xfId="2887" xr:uid="{00000000-0005-0000-0000-0000460B0000}"/>
    <cellStyle name="Обычный 9 3" xfId="2888" xr:uid="{00000000-0005-0000-0000-0000470B0000}"/>
    <cellStyle name="Обычный 9 3 2" xfId="2889" xr:uid="{00000000-0005-0000-0000-0000480B0000}"/>
    <cellStyle name="Обычный 9 3 2 2" xfId="2890" xr:uid="{00000000-0005-0000-0000-0000490B0000}"/>
    <cellStyle name="Обычный 9 3 2 2 2" xfId="2891" xr:uid="{00000000-0005-0000-0000-00004A0B0000}"/>
    <cellStyle name="Обычный 9 3 2 3" xfId="2892" xr:uid="{00000000-0005-0000-0000-00004B0B0000}"/>
    <cellStyle name="Обычный 9 3 3" xfId="2893" xr:uid="{00000000-0005-0000-0000-00004C0B0000}"/>
    <cellStyle name="Обычный 9 3 3 2" xfId="2894" xr:uid="{00000000-0005-0000-0000-00004D0B0000}"/>
    <cellStyle name="Обычный 9 3 4" xfId="2895" xr:uid="{00000000-0005-0000-0000-00004E0B0000}"/>
    <cellStyle name="Обычный 9 4" xfId="2896" xr:uid="{00000000-0005-0000-0000-00004F0B0000}"/>
    <cellStyle name="Обычный 9 4 2" xfId="2897" xr:uid="{00000000-0005-0000-0000-0000500B0000}"/>
    <cellStyle name="Обычный 9 4 2 2" xfId="2898" xr:uid="{00000000-0005-0000-0000-0000510B0000}"/>
    <cellStyle name="Обычный 9 4 3" xfId="2899" xr:uid="{00000000-0005-0000-0000-0000520B0000}"/>
    <cellStyle name="Обычный 9 5" xfId="2900" xr:uid="{00000000-0005-0000-0000-0000530B0000}"/>
    <cellStyle name="Обычный 9 5 2" xfId="2901" xr:uid="{00000000-0005-0000-0000-0000540B0000}"/>
    <cellStyle name="Обычный 9 6" xfId="2902" xr:uid="{00000000-0005-0000-0000-0000550B0000}"/>
    <cellStyle name="Обычный_октябрь" xfId="1" xr:uid="{00000000-0005-0000-0000-0000560B0000}"/>
    <cellStyle name="Параметр" xfId="2903" xr:uid="{00000000-0005-0000-0000-0000570B0000}"/>
    <cellStyle name="ПеременныеСметы" xfId="2904" xr:uid="{00000000-0005-0000-0000-0000580B0000}"/>
    <cellStyle name="Плохой 2" xfId="2905" xr:uid="{00000000-0005-0000-0000-0000590B0000}"/>
    <cellStyle name="Плохой 3" xfId="2906" xr:uid="{00000000-0005-0000-0000-00005A0B0000}"/>
    <cellStyle name="Плохой 4" xfId="2907" xr:uid="{00000000-0005-0000-0000-00005B0B0000}"/>
    <cellStyle name="Плохой 5" xfId="2908" xr:uid="{00000000-0005-0000-0000-00005C0B0000}"/>
    <cellStyle name="Пояснение 2" xfId="2909" xr:uid="{00000000-0005-0000-0000-00005D0B0000}"/>
    <cellStyle name="Пояснение 3" xfId="2910" xr:uid="{00000000-0005-0000-0000-00005E0B0000}"/>
    <cellStyle name="Пояснение 4" xfId="2911" xr:uid="{00000000-0005-0000-0000-00005F0B0000}"/>
    <cellStyle name="Пояснение 5" xfId="2912" xr:uid="{00000000-0005-0000-0000-0000600B0000}"/>
    <cellStyle name="Примечание 2" xfId="2913" xr:uid="{00000000-0005-0000-0000-0000610B0000}"/>
    <cellStyle name="Примечание 3" xfId="2914" xr:uid="{00000000-0005-0000-0000-0000620B0000}"/>
    <cellStyle name="Примечание 4" xfId="2915" xr:uid="{00000000-0005-0000-0000-0000630B0000}"/>
    <cellStyle name="Примечание 5" xfId="2916" xr:uid="{00000000-0005-0000-0000-0000640B0000}"/>
    <cellStyle name="Процентный 2" xfId="2917" xr:uid="{00000000-0005-0000-0000-0000650B0000}"/>
    <cellStyle name="РесСмета" xfId="2918" xr:uid="{00000000-0005-0000-0000-0000660B0000}"/>
    <cellStyle name="СводкаСтоимРаб" xfId="2919" xr:uid="{00000000-0005-0000-0000-0000670B0000}"/>
    <cellStyle name="СводРасч" xfId="2920" xr:uid="{00000000-0005-0000-0000-0000680B0000}"/>
    <cellStyle name="СводРасч 10" xfId="2921" xr:uid="{00000000-0005-0000-0000-0000690B0000}"/>
    <cellStyle name="СводРасч 11" xfId="2922" xr:uid="{00000000-0005-0000-0000-00006A0B0000}"/>
    <cellStyle name="СводРасч 12" xfId="2923" xr:uid="{00000000-0005-0000-0000-00006B0B0000}"/>
    <cellStyle name="СводРасч 13" xfId="2924" xr:uid="{00000000-0005-0000-0000-00006C0B0000}"/>
    <cellStyle name="СводРасч 14" xfId="2925" xr:uid="{00000000-0005-0000-0000-00006D0B0000}"/>
    <cellStyle name="СводРасч 15" xfId="2926" xr:uid="{00000000-0005-0000-0000-00006E0B0000}"/>
    <cellStyle name="СводРасч 16" xfId="2927" xr:uid="{00000000-0005-0000-0000-00006F0B0000}"/>
    <cellStyle name="СводРасч 17" xfId="2928" xr:uid="{00000000-0005-0000-0000-0000700B0000}"/>
    <cellStyle name="СводРасч 18" xfId="2929" xr:uid="{00000000-0005-0000-0000-0000710B0000}"/>
    <cellStyle name="СводРасч 2" xfId="2930" xr:uid="{00000000-0005-0000-0000-0000720B0000}"/>
    <cellStyle name="СводРасч 3" xfId="2931" xr:uid="{00000000-0005-0000-0000-0000730B0000}"/>
    <cellStyle name="СводРасч 4" xfId="2932" xr:uid="{00000000-0005-0000-0000-0000740B0000}"/>
    <cellStyle name="СводРасч 5" xfId="2933" xr:uid="{00000000-0005-0000-0000-0000750B0000}"/>
    <cellStyle name="СводРасч 6" xfId="2934" xr:uid="{00000000-0005-0000-0000-0000760B0000}"/>
    <cellStyle name="СводРасч 7" xfId="2935" xr:uid="{00000000-0005-0000-0000-0000770B0000}"/>
    <cellStyle name="СводРасч 8" xfId="2936" xr:uid="{00000000-0005-0000-0000-0000780B0000}"/>
    <cellStyle name="СводРасч 9" xfId="2937" xr:uid="{00000000-0005-0000-0000-0000790B0000}"/>
    <cellStyle name="Связанная ячейка 2" xfId="2938" xr:uid="{00000000-0005-0000-0000-00007A0B0000}"/>
    <cellStyle name="Связанная ячейка 3" xfId="2939" xr:uid="{00000000-0005-0000-0000-00007B0B0000}"/>
    <cellStyle name="Связанная ячейка 4" xfId="2940" xr:uid="{00000000-0005-0000-0000-00007C0B0000}"/>
    <cellStyle name="Связанная ячейка 5" xfId="2941" xr:uid="{00000000-0005-0000-0000-00007D0B0000}"/>
    <cellStyle name="Текст предупреждения 2" xfId="2942" xr:uid="{00000000-0005-0000-0000-00007E0B0000}"/>
    <cellStyle name="Текст предупреждения 3" xfId="2943" xr:uid="{00000000-0005-0000-0000-00007F0B0000}"/>
    <cellStyle name="Текст предупреждения 4" xfId="2944" xr:uid="{00000000-0005-0000-0000-0000800B0000}"/>
    <cellStyle name="Текст предупреждения 5" xfId="2945" xr:uid="{00000000-0005-0000-0000-0000810B0000}"/>
    <cellStyle name="Титул" xfId="2946" xr:uid="{00000000-0005-0000-0000-0000820B0000}"/>
    <cellStyle name="Титул 2" xfId="2947" xr:uid="{00000000-0005-0000-0000-0000830B0000}"/>
    <cellStyle name="Финансовый 10" xfId="2948" xr:uid="{00000000-0005-0000-0000-0000840B0000}"/>
    <cellStyle name="Финансовый 11" xfId="2949" xr:uid="{00000000-0005-0000-0000-0000850B0000}"/>
    <cellStyle name="Финансовый 12" xfId="2950" xr:uid="{00000000-0005-0000-0000-0000860B0000}"/>
    <cellStyle name="Финансовый 13" xfId="2951" xr:uid="{00000000-0005-0000-0000-0000870B0000}"/>
    <cellStyle name="Финансовый 14" xfId="2952" xr:uid="{00000000-0005-0000-0000-0000880B0000}"/>
    <cellStyle name="Финансовый 15" xfId="2953" xr:uid="{00000000-0005-0000-0000-0000890B0000}"/>
    <cellStyle name="Финансовый 16" xfId="2954" xr:uid="{00000000-0005-0000-0000-00008A0B0000}"/>
    <cellStyle name="Финансовый 17" xfId="2955" xr:uid="{00000000-0005-0000-0000-00008B0B0000}"/>
    <cellStyle name="Финансовый 18" xfId="2956" xr:uid="{00000000-0005-0000-0000-00008C0B0000}"/>
    <cellStyle name="Финансовый 19" xfId="2957" xr:uid="{00000000-0005-0000-0000-00008D0B0000}"/>
    <cellStyle name="Финансовый 2" xfId="2958" xr:uid="{00000000-0005-0000-0000-00008E0B0000}"/>
    <cellStyle name="Финансовый 20" xfId="2959" xr:uid="{00000000-0005-0000-0000-00008F0B0000}"/>
    <cellStyle name="Финансовый 21" xfId="2960" xr:uid="{00000000-0005-0000-0000-0000900B0000}"/>
    <cellStyle name="Финансовый 22" xfId="2961" xr:uid="{00000000-0005-0000-0000-0000910B0000}"/>
    <cellStyle name="Финансовый 3" xfId="2962" xr:uid="{00000000-0005-0000-0000-0000920B0000}"/>
    <cellStyle name="Финансовый 3 2" xfId="2963" xr:uid="{00000000-0005-0000-0000-0000930B0000}"/>
    <cellStyle name="Финансовый 4" xfId="2964" xr:uid="{00000000-0005-0000-0000-0000940B0000}"/>
    <cellStyle name="Финансовый 5" xfId="2965" xr:uid="{00000000-0005-0000-0000-0000950B0000}"/>
    <cellStyle name="Финансовый 6" xfId="2966" xr:uid="{00000000-0005-0000-0000-0000960B0000}"/>
    <cellStyle name="Финансовый 7" xfId="2967" xr:uid="{00000000-0005-0000-0000-0000970B0000}"/>
    <cellStyle name="Финансовый 8" xfId="2968" xr:uid="{00000000-0005-0000-0000-0000980B0000}"/>
    <cellStyle name="Финансовый 9" xfId="2969" xr:uid="{00000000-0005-0000-0000-0000990B0000}"/>
    <cellStyle name="Хвост" xfId="2970" xr:uid="{00000000-0005-0000-0000-00009A0B0000}"/>
    <cellStyle name="Хороший 2" xfId="2971" xr:uid="{00000000-0005-0000-0000-00009B0B0000}"/>
    <cellStyle name="Хороший 3" xfId="2972" xr:uid="{00000000-0005-0000-0000-00009C0B0000}"/>
    <cellStyle name="Хороший 4" xfId="2973" xr:uid="{00000000-0005-0000-0000-00009D0B0000}"/>
    <cellStyle name="Хороший 5" xfId="2974" xr:uid="{00000000-0005-0000-0000-00009E0B0000}"/>
    <cellStyle name="Экспертиза" xfId="2975" xr:uid="{00000000-0005-0000-0000-00009F0B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25"/>
  <sheetViews>
    <sheetView topLeftCell="A222" zoomScale="110" zoomScaleNormal="110" workbookViewId="0">
      <selection activeCell="B69" sqref="B69"/>
    </sheetView>
  </sheetViews>
  <sheetFormatPr defaultColWidth="9.140625" defaultRowHeight="12" x14ac:dyDescent="0.2"/>
  <cols>
    <col min="1" max="1" width="5.140625" style="1" customWidth="1"/>
    <col min="2" max="2" width="29.5703125" style="1" customWidth="1"/>
    <col min="3" max="3" width="35.7109375" style="1" customWidth="1"/>
    <col min="4" max="4" width="9.140625" style="1" customWidth="1"/>
    <col min="5" max="5" width="10.42578125" style="1" customWidth="1"/>
    <col min="6" max="6" width="12.42578125" style="1" customWidth="1"/>
    <col min="7" max="7" width="11.42578125" style="1" customWidth="1"/>
    <col min="8" max="8" width="38.28515625" style="1" customWidth="1"/>
    <col min="9" max="9" width="9.85546875" style="1" customWidth="1"/>
    <col min="10" max="10" width="20.42578125" style="1" customWidth="1"/>
    <col min="11" max="16384" width="9.140625" style="1"/>
  </cols>
  <sheetData>
    <row r="2" spans="1:10" x14ac:dyDescent="0.2">
      <c r="B2" s="599" t="s">
        <v>39</v>
      </c>
      <c r="C2" s="599"/>
      <c r="D2" s="599"/>
      <c r="E2" s="599"/>
      <c r="F2" s="599"/>
      <c r="G2" s="599"/>
      <c r="H2" s="599"/>
      <c r="I2" s="599"/>
    </row>
    <row r="3" spans="1:10" x14ac:dyDescent="0.2">
      <c r="B3" s="599" t="s">
        <v>40</v>
      </c>
      <c r="C3" s="599"/>
      <c r="D3" s="599"/>
      <c r="E3" s="599"/>
      <c r="F3" s="599"/>
      <c r="G3" s="599"/>
      <c r="H3" s="599"/>
      <c r="I3" s="599"/>
    </row>
    <row r="4" spans="1:10" x14ac:dyDescent="0.2">
      <c r="B4" s="599" t="s">
        <v>41</v>
      </c>
      <c r="C4" s="599"/>
      <c r="D4" s="599"/>
      <c r="E4" s="599"/>
      <c r="F4" s="599"/>
      <c r="G4" s="599"/>
      <c r="H4" s="599"/>
      <c r="I4" s="599"/>
    </row>
    <row r="5" spans="1:10" ht="15.6" customHeight="1" x14ac:dyDescent="0.2">
      <c r="B5" s="143"/>
      <c r="C5" s="143"/>
      <c r="D5" s="143"/>
      <c r="E5" s="143"/>
      <c r="F5" s="10">
        <v>1</v>
      </c>
      <c r="G5" s="143"/>
      <c r="H5" s="143"/>
      <c r="I5" s="143"/>
    </row>
    <row r="6" spans="1:10" ht="25.5" customHeight="1" x14ac:dyDescent="0.2">
      <c r="A6" s="600" t="s">
        <v>65</v>
      </c>
      <c r="B6" s="600" t="s">
        <v>0</v>
      </c>
      <c r="C6" s="602" t="s">
        <v>807</v>
      </c>
      <c r="D6" s="604" t="s">
        <v>1</v>
      </c>
      <c r="E6" s="604"/>
      <c r="F6" s="604" t="s">
        <v>43</v>
      </c>
      <c r="G6" s="604"/>
      <c r="H6" s="604" t="s">
        <v>44</v>
      </c>
      <c r="I6" s="604" t="s">
        <v>45</v>
      </c>
    </row>
    <row r="7" spans="1:10" ht="56.45" customHeight="1" x14ac:dyDescent="0.2">
      <c r="A7" s="601"/>
      <c r="B7" s="601"/>
      <c r="C7" s="603"/>
      <c r="D7" s="144" t="s">
        <v>2</v>
      </c>
      <c r="E7" s="22" t="s">
        <v>42</v>
      </c>
      <c r="F7" s="144" t="s">
        <v>3</v>
      </c>
      <c r="G7" s="144" t="s">
        <v>33</v>
      </c>
      <c r="H7" s="604"/>
      <c r="I7" s="604"/>
      <c r="J7" s="1" t="s">
        <v>346</v>
      </c>
    </row>
    <row r="8" spans="1:10" ht="11.45" customHeight="1" x14ac:dyDescent="0.2">
      <c r="A8" s="3">
        <v>1</v>
      </c>
      <c r="B8" s="3">
        <v>2</v>
      </c>
      <c r="C8" s="3">
        <v>3</v>
      </c>
      <c r="D8" s="3">
        <v>4</v>
      </c>
      <c r="E8" s="3">
        <v>5</v>
      </c>
      <c r="F8" s="3">
        <v>6</v>
      </c>
      <c r="G8" s="3">
        <v>7</v>
      </c>
      <c r="H8" s="3">
        <v>8</v>
      </c>
      <c r="I8" s="3">
        <v>9</v>
      </c>
    </row>
    <row r="9" spans="1:10" ht="40.5" customHeight="1" x14ac:dyDescent="0.2">
      <c r="A9" s="25" t="s">
        <v>116</v>
      </c>
      <c r="B9" s="94" t="s">
        <v>834</v>
      </c>
      <c r="C9" s="596" t="s">
        <v>117</v>
      </c>
      <c r="D9" s="18"/>
      <c r="E9" s="18"/>
      <c r="F9" s="146"/>
      <c r="G9" s="146"/>
      <c r="H9" s="141"/>
      <c r="I9" s="14"/>
    </row>
    <row r="10" spans="1:10" ht="60" x14ac:dyDescent="0.2">
      <c r="A10" s="16" t="s">
        <v>66</v>
      </c>
      <c r="B10" s="92" t="s">
        <v>835</v>
      </c>
      <c r="C10" s="597"/>
      <c r="D10" s="19" t="s">
        <v>46</v>
      </c>
      <c r="E10" s="19" t="s">
        <v>4</v>
      </c>
      <c r="F10" s="21" t="s">
        <v>852</v>
      </c>
      <c r="G10" s="21" t="e">
        <f>F10-(53737)/1000*$F$5</f>
        <v>#VALUE!</v>
      </c>
      <c r="H10" s="142" t="s">
        <v>47</v>
      </c>
      <c r="I10" s="15"/>
    </row>
    <row r="11" spans="1:10" ht="48" x14ac:dyDescent="0.2">
      <c r="A11" s="16" t="s">
        <v>67</v>
      </c>
      <c r="B11" s="92" t="s">
        <v>242</v>
      </c>
      <c r="C11" s="597"/>
      <c r="D11" s="19" t="s">
        <v>48</v>
      </c>
      <c r="E11" s="19" t="s">
        <v>52</v>
      </c>
      <c r="F11" s="21">
        <f>(3127000/1.18)/1000*$F$5</f>
        <v>2650</v>
      </c>
      <c r="G11" s="21">
        <f>F11-(0)/1000*$F$5</f>
        <v>2650</v>
      </c>
      <c r="H11" s="142" t="s">
        <v>647</v>
      </c>
      <c r="I11" s="15"/>
    </row>
    <row r="12" spans="1:10" ht="36" x14ac:dyDescent="0.2">
      <c r="A12" s="16" t="s">
        <v>68</v>
      </c>
      <c r="B12" s="92" t="s">
        <v>243</v>
      </c>
      <c r="C12" s="597"/>
      <c r="D12" s="19" t="s">
        <v>12</v>
      </c>
      <c r="E12" s="19" t="s">
        <v>49</v>
      </c>
      <c r="F12" s="21">
        <f>(11142291.6/1.18)/1000*$F$5</f>
        <v>9442.6200000000008</v>
      </c>
      <c r="G12" s="21">
        <f>F12-(7388413.6)/1000*$F$5</f>
        <v>2054.2064000000009</v>
      </c>
      <c r="H12" s="142" t="s">
        <v>50</v>
      </c>
      <c r="I12" s="15"/>
    </row>
    <row r="13" spans="1:10" ht="60" x14ac:dyDescent="0.2">
      <c r="A13" s="16" t="s">
        <v>69</v>
      </c>
      <c r="B13" s="92" t="s">
        <v>836</v>
      </c>
      <c r="C13" s="597"/>
      <c r="D13" s="19" t="s">
        <v>51</v>
      </c>
      <c r="E13" s="19" t="s">
        <v>52</v>
      </c>
      <c r="F13" s="21">
        <f>(3600000)/1000*$F$5</f>
        <v>3600</v>
      </c>
      <c r="G13" s="21">
        <f t="shared" ref="G13:G37" si="0">F13-(0)/1000*$F$5</f>
        <v>3600</v>
      </c>
      <c r="H13" s="142" t="s">
        <v>53</v>
      </c>
      <c r="I13" s="15"/>
    </row>
    <row r="14" spans="1:10" ht="36" x14ac:dyDescent="0.2">
      <c r="A14" s="16" t="s">
        <v>70</v>
      </c>
      <c r="B14" s="92" t="s">
        <v>837</v>
      </c>
      <c r="C14" s="597"/>
      <c r="D14" s="19" t="s">
        <v>54</v>
      </c>
      <c r="E14" s="19" t="s">
        <v>25</v>
      </c>
      <c r="F14" s="21">
        <f>(2765753)/1000*$F$5</f>
        <v>2765.7530000000002</v>
      </c>
      <c r="G14" s="21">
        <f>F14-(401097)/1000*$F$5</f>
        <v>2364.6559999999999</v>
      </c>
      <c r="H14" s="142" t="s">
        <v>55</v>
      </c>
      <c r="I14" s="15"/>
    </row>
    <row r="15" spans="1:10" ht="48" x14ac:dyDescent="0.2">
      <c r="A15" s="16" t="s">
        <v>71</v>
      </c>
      <c r="B15" s="92" t="s">
        <v>244</v>
      </c>
      <c r="C15" s="597"/>
      <c r="D15" s="19" t="s">
        <v>56</v>
      </c>
      <c r="E15" s="19" t="s">
        <v>52</v>
      </c>
      <c r="F15" s="21">
        <f>(5000000)/1000*$F$5</f>
        <v>5000</v>
      </c>
      <c r="G15" s="21">
        <f t="shared" si="0"/>
        <v>5000</v>
      </c>
      <c r="H15" s="142" t="s">
        <v>170</v>
      </c>
      <c r="I15" s="15"/>
    </row>
    <row r="16" spans="1:10" ht="36" x14ac:dyDescent="0.2">
      <c r="A16" s="16" t="s">
        <v>72</v>
      </c>
      <c r="B16" s="92" t="s">
        <v>838</v>
      </c>
      <c r="C16" s="597"/>
      <c r="D16" s="19" t="s">
        <v>4</v>
      </c>
      <c r="E16" s="19" t="s">
        <v>7</v>
      </c>
      <c r="F16" s="21">
        <f>(5947000)/1000*$F$5</f>
        <v>5947</v>
      </c>
      <c r="G16" s="21">
        <f>F16-(322033.9)/1000*$F$5</f>
        <v>5624.9660999999996</v>
      </c>
      <c r="H16" s="142" t="s">
        <v>57</v>
      </c>
      <c r="I16" s="15"/>
    </row>
    <row r="17" spans="1:9" ht="24" x14ac:dyDescent="0.2">
      <c r="A17" s="16" t="s">
        <v>73</v>
      </c>
      <c r="B17" s="92" t="s">
        <v>839</v>
      </c>
      <c r="C17" s="597"/>
      <c r="D17" s="19" t="s">
        <v>58</v>
      </c>
      <c r="E17" s="19" t="s">
        <v>58</v>
      </c>
      <c r="F17" s="21">
        <f>(720000)/1000*$F$5</f>
        <v>720</v>
      </c>
      <c r="G17" s="21">
        <f>F17-(128844)/1000*$F$5</f>
        <v>591.15599999999995</v>
      </c>
      <c r="H17" s="142" t="s">
        <v>59</v>
      </c>
      <c r="I17" s="15"/>
    </row>
    <row r="18" spans="1:9" ht="24" x14ac:dyDescent="0.2">
      <c r="A18" s="16" t="s">
        <v>74</v>
      </c>
      <c r="B18" s="92" t="s">
        <v>840</v>
      </c>
      <c r="C18" s="597"/>
      <c r="D18" s="19" t="s">
        <v>60</v>
      </c>
      <c r="E18" s="19" t="s">
        <v>60</v>
      </c>
      <c r="F18" s="21">
        <f>(700000)/1000*$F$5</f>
        <v>700</v>
      </c>
      <c r="G18" s="21">
        <f t="shared" si="0"/>
        <v>700</v>
      </c>
      <c r="H18" s="142" t="s">
        <v>59</v>
      </c>
      <c r="I18" s="15"/>
    </row>
    <row r="19" spans="1:9" ht="24" x14ac:dyDescent="0.2">
      <c r="A19" s="16" t="s">
        <v>75</v>
      </c>
      <c r="B19" s="92" t="s">
        <v>841</v>
      </c>
      <c r="C19" s="597"/>
      <c r="D19" s="19" t="s">
        <v>61</v>
      </c>
      <c r="E19" s="19" t="s">
        <v>61</v>
      </c>
      <c r="F19" s="21">
        <f>(720000)/1000*$F$5</f>
        <v>720</v>
      </c>
      <c r="G19" s="21">
        <f t="shared" si="0"/>
        <v>720</v>
      </c>
      <c r="H19" s="142" t="s">
        <v>59</v>
      </c>
      <c r="I19" s="15"/>
    </row>
    <row r="20" spans="1:9" ht="24" x14ac:dyDescent="0.2">
      <c r="A20" s="16" t="s">
        <v>76</v>
      </c>
      <c r="B20" s="92" t="s">
        <v>842</v>
      </c>
      <c r="C20" s="597"/>
      <c r="D20" s="19" t="s">
        <v>62</v>
      </c>
      <c r="E20" s="19" t="s">
        <v>62</v>
      </c>
      <c r="F20" s="21">
        <f>(730000)/1000*$F$5</f>
        <v>730</v>
      </c>
      <c r="G20" s="21">
        <f t="shared" si="0"/>
        <v>730</v>
      </c>
      <c r="H20" s="142" t="s">
        <v>59</v>
      </c>
      <c r="I20" s="15"/>
    </row>
    <row r="21" spans="1:9" ht="48" x14ac:dyDescent="0.2">
      <c r="A21" s="16" t="s">
        <v>77</v>
      </c>
      <c r="B21" s="92" t="s">
        <v>245</v>
      </c>
      <c r="C21" s="597"/>
      <c r="D21" s="19" t="s">
        <v>16</v>
      </c>
      <c r="E21" s="19" t="s">
        <v>63</v>
      </c>
      <c r="F21" s="21">
        <f>(170917+20177971)/1000*$F$5</f>
        <v>20348.887999999999</v>
      </c>
      <c r="G21" s="21">
        <f>F21-(2286003+6277093)/1000*$F$5</f>
        <v>11785.791999999999</v>
      </c>
      <c r="H21" s="142" t="s">
        <v>64</v>
      </c>
      <c r="I21" s="15"/>
    </row>
    <row r="22" spans="1:9" ht="140.25" customHeight="1" x14ac:dyDescent="0.2">
      <c r="A22" s="16" t="s">
        <v>80</v>
      </c>
      <c r="B22" s="92" t="s">
        <v>246</v>
      </c>
      <c r="C22" s="137" t="s">
        <v>81</v>
      </c>
      <c r="D22" s="19" t="s">
        <v>78</v>
      </c>
      <c r="E22" s="19" t="s">
        <v>7</v>
      </c>
      <c r="F22" s="21">
        <f>(3293513)/1000*$F$5</f>
        <v>3293.5129999999999</v>
      </c>
      <c r="G22" s="21">
        <f t="shared" si="0"/>
        <v>3293.5129999999999</v>
      </c>
      <c r="H22" s="142" t="s">
        <v>79</v>
      </c>
      <c r="I22" s="15"/>
    </row>
    <row r="23" spans="1:9" ht="48" x14ac:dyDescent="0.2">
      <c r="A23" s="16" t="s">
        <v>82</v>
      </c>
      <c r="B23" s="92" t="s">
        <v>247</v>
      </c>
      <c r="C23" s="586" t="s">
        <v>83</v>
      </c>
      <c r="D23" s="19" t="s">
        <v>84</v>
      </c>
      <c r="E23" s="19" t="s">
        <v>7</v>
      </c>
      <c r="F23" s="21">
        <f>(15724959.7)/1000*$F$5</f>
        <v>15724.959699999999</v>
      </c>
      <c r="G23" s="21">
        <f t="shared" si="0"/>
        <v>15724.959699999999</v>
      </c>
      <c r="H23" s="142" t="s">
        <v>85</v>
      </c>
      <c r="I23" s="15"/>
    </row>
    <row r="24" spans="1:9" ht="84" x14ac:dyDescent="0.2">
      <c r="A24" s="16" t="s">
        <v>87</v>
      </c>
      <c r="B24" s="92" t="s">
        <v>247</v>
      </c>
      <c r="C24" s="586"/>
      <c r="D24" s="19" t="s">
        <v>86</v>
      </c>
      <c r="E24" s="19" t="s">
        <v>22</v>
      </c>
      <c r="F24" s="21">
        <f>(13589383)/1000*$F$5</f>
        <v>13589.383</v>
      </c>
      <c r="G24" s="21">
        <f t="shared" si="0"/>
        <v>13589.383</v>
      </c>
      <c r="H24" s="142" t="s">
        <v>109</v>
      </c>
      <c r="I24" s="15"/>
    </row>
    <row r="25" spans="1:9" ht="72" x14ac:dyDescent="0.2">
      <c r="A25" s="16" t="s">
        <v>88</v>
      </c>
      <c r="B25" s="92" t="s">
        <v>118</v>
      </c>
      <c r="C25" s="586"/>
      <c r="D25" s="19" t="s">
        <v>91</v>
      </c>
      <c r="E25" s="24" t="s">
        <v>92</v>
      </c>
      <c r="F25" s="21">
        <f>(9015373)/1000*$F$5</f>
        <v>9015.3729999999996</v>
      </c>
      <c r="G25" s="21">
        <f t="shared" si="0"/>
        <v>9015.3729999999996</v>
      </c>
      <c r="H25" s="142" t="s">
        <v>110</v>
      </c>
      <c r="I25" s="15"/>
    </row>
    <row r="26" spans="1:9" ht="48" x14ac:dyDescent="0.2">
      <c r="A26" s="16" t="s">
        <v>89</v>
      </c>
      <c r="B26" s="92" t="s">
        <v>247</v>
      </c>
      <c r="C26" s="586"/>
      <c r="D26" s="19" t="s">
        <v>93</v>
      </c>
      <c r="E26" s="24" t="s">
        <v>94</v>
      </c>
      <c r="F26" s="21">
        <f>(21058242)/1000*$F$5</f>
        <v>21058.241999999998</v>
      </c>
      <c r="G26" s="21">
        <f t="shared" si="0"/>
        <v>21058.241999999998</v>
      </c>
      <c r="H26" s="142" t="s">
        <v>108</v>
      </c>
      <c r="I26" s="15"/>
    </row>
    <row r="27" spans="1:9" ht="60" x14ac:dyDescent="0.2">
      <c r="A27" s="16" t="s">
        <v>90</v>
      </c>
      <c r="B27" s="92" t="s">
        <v>247</v>
      </c>
      <c r="C27" s="586"/>
      <c r="D27" s="19" t="s">
        <v>60</v>
      </c>
      <c r="E27" s="19" t="s">
        <v>95</v>
      </c>
      <c r="F27" s="21">
        <f>(2279276)/1000*$F$5</f>
        <v>2279.2759999999998</v>
      </c>
      <c r="G27" s="21">
        <f t="shared" si="0"/>
        <v>2279.2759999999998</v>
      </c>
      <c r="H27" s="142" t="s">
        <v>111</v>
      </c>
      <c r="I27" s="15"/>
    </row>
    <row r="28" spans="1:9" ht="48" x14ac:dyDescent="0.2">
      <c r="A28" s="16" t="s">
        <v>96</v>
      </c>
      <c r="B28" s="92" t="s">
        <v>247</v>
      </c>
      <c r="C28" s="586"/>
      <c r="D28" s="19" t="s">
        <v>95</v>
      </c>
      <c r="E28" s="19" t="s">
        <v>9</v>
      </c>
      <c r="F28" s="21">
        <f>(1136955)/1000*$F$5</f>
        <v>1136.9549999999999</v>
      </c>
      <c r="G28" s="21">
        <f t="shared" si="0"/>
        <v>1136.9549999999999</v>
      </c>
      <c r="H28" s="142" t="s">
        <v>112</v>
      </c>
      <c r="I28" s="15"/>
    </row>
    <row r="29" spans="1:9" ht="84" x14ac:dyDescent="0.2">
      <c r="A29" s="16" t="s">
        <v>97</v>
      </c>
      <c r="B29" s="92" t="s">
        <v>247</v>
      </c>
      <c r="C29" s="586"/>
      <c r="D29" s="19" t="s">
        <v>101</v>
      </c>
      <c r="E29" s="24" t="s">
        <v>102</v>
      </c>
      <c r="F29" s="21">
        <f>(8510364)/1000*$F$5</f>
        <v>8510.3639999999996</v>
      </c>
      <c r="G29" s="21">
        <f t="shared" si="0"/>
        <v>8510.3639999999996</v>
      </c>
      <c r="H29" s="142" t="s">
        <v>113</v>
      </c>
      <c r="I29" s="15"/>
    </row>
    <row r="30" spans="1:9" ht="41.25" customHeight="1" x14ac:dyDescent="0.2">
      <c r="A30" s="16" t="s">
        <v>98</v>
      </c>
      <c r="B30" s="92" t="s">
        <v>247</v>
      </c>
      <c r="C30" s="586"/>
      <c r="D30" s="19" t="s">
        <v>103</v>
      </c>
      <c r="E30" s="19" t="s">
        <v>104</v>
      </c>
      <c r="F30" s="21">
        <f>(2290335)/1000*$F$5</f>
        <v>2290.335</v>
      </c>
      <c r="G30" s="21">
        <f t="shared" si="0"/>
        <v>2290.335</v>
      </c>
      <c r="H30" s="142" t="s">
        <v>105</v>
      </c>
      <c r="I30" s="15"/>
    </row>
    <row r="31" spans="1:9" ht="84" x14ac:dyDescent="0.2">
      <c r="A31" s="16" t="s">
        <v>99</v>
      </c>
      <c r="B31" s="92" t="s">
        <v>247</v>
      </c>
      <c r="C31" s="586"/>
      <c r="D31" s="19" t="s">
        <v>104</v>
      </c>
      <c r="E31" s="24" t="s">
        <v>106</v>
      </c>
      <c r="F31" s="21">
        <f>(7629477)/1000*$F$5</f>
        <v>7629.4769999999999</v>
      </c>
      <c r="G31" s="21">
        <f t="shared" si="0"/>
        <v>7629.4769999999999</v>
      </c>
      <c r="H31" s="142" t="s">
        <v>114</v>
      </c>
      <c r="I31" s="15"/>
    </row>
    <row r="32" spans="1:9" ht="48" x14ac:dyDescent="0.2">
      <c r="A32" s="16" t="s">
        <v>100</v>
      </c>
      <c r="B32" s="92" t="s">
        <v>247</v>
      </c>
      <c r="C32" s="586"/>
      <c r="D32" s="19" t="s">
        <v>16</v>
      </c>
      <c r="E32" s="19" t="s">
        <v>107</v>
      </c>
      <c r="F32" s="21">
        <f>(1831211)/1000*$F$5</f>
        <v>1831.211</v>
      </c>
      <c r="G32" s="21">
        <f t="shared" si="0"/>
        <v>1831.211</v>
      </c>
      <c r="H32" s="142" t="s">
        <v>115</v>
      </c>
      <c r="I32" s="15"/>
    </row>
    <row r="33" spans="1:9" ht="156" x14ac:dyDescent="0.2">
      <c r="A33" s="17" t="s">
        <v>149</v>
      </c>
      <c r="B33" s="33" t="s">
        <v>146</v>
      </c>
      <c r="C33" s="138" t="s">
        <v>843</v>
      </c>
      <c r="D33" s="12" t="s">
        <v>124</v>
      </c>
      <c r="E33" s="12" t="s">
        <v>56</v>
      </c>
      <c r="F33" s="147">
        <f>(407667.34/1.18)/1000*$F$5</f>
        <v>345.48079661016953</v>
      </c>
      <c r="G33" s="147">
        <f>F33</f>
        <v>345.48079661016953</v>
      </c>
      <c r="H33" s="148" t="s">
        <v>125</v>
      </c>
      <c r="I33" s="32"/>
    </row>
    <row r="34" spans="1:9" ht="50.25" customHeight="1" x14ac:dyDescent="0.2">
      <c r="A34" s="36" t="s">
        <v>148</v>
      </c>
      <c r="B34" s="94" t="s">
        <v>249</v>
      </c>
      <c r="C34" s="585" t="s">
        <v>147</v>
      </c>
      <c r="D34" s="18"/>
      <c r="E34" s="18"/>
      <c r="F34" s="146">
        <f>(0)/1000*$F$5</f>
        <v>0</v>
      </c>
      <c r="G34" s="146">
        <f t="shared" si="0"/>
        <v>0</v>
      </c>
      <c r="H34" s="141"/>
      <c r="I34" s="35"/>
    </row>
    <row r="35" spans="1:9" ht="64.5" customHeight="1" x14ac:dyDescent="0.2">
      <c r="A35" s="16" t="s">
        <v>122</v>
      </c>
      <c r="B35" s="92" t="s">
        <v>248</v>
      </c>
      <c r="C35" s="586"/>
      <c r="D35" s="19" t="s">
        <v>119</v>
      </c>
      <c r="E35" s="19" t="s">
        <v>119</v>
      </c>
      <c r="F35" s="21">
        <f>(448400/1.18)/1000*$F$5</f>
        <v>380</v>
      </c>
      <c r="G35" s="21">
        <f t="shared" si="0"/>
        <v>380</v>
      </c>
      <c r="H35" s="142" t="s">
        <v>120</v>
      </c>
      <c r="I35" s="34"/>
    </row>
    <row r="36" spans="1:9" ht="48" x14ac:dyDescent="0.2">
      <c r="A36" s="16" t="s">
        <v>123</v>
      </c>
      <c r="B36" s="92" t="s">
        <v>250</v>
      </c>
      <c r="C36" s="586"/>
      <c r="D36" s="19" t="s">
        <v>13</v>
      </c>
      <c r="E36" s="19" t="s">
        <v>8</v>
      </c>
      <c r="F36" s="21">
        <f>(2300000)/1000*$F$5</f>
        <v>2300</v>
      </c>
      <c r="G36" s="21">
        <f t="shared" si="0"/>
        <v>2300</v>
      </c>
      <c r="H36" s="142" t="s">
        <v>171</v>
      </c>
      <c r="I36" s="34"/>
    </row>
    <row r="37" spans="1:9" ht="66.75" customHeight="1" x14ac:dyDescent="0.2">
      <c r="A37" s="16" t="s">
        <v>150</v>
      </c>
      <c r="B37" s="92" t="s">
        <v>251</v>
      </c>
      <c r="C37" s="586"/>
      <c r="D37" s="19" t="s">
        <v>126</v>
      </c>
      <c r="E37" s="19" t="s">
        <v>127</v>
      </c>
      <c r="F37" s="21">
        <f>(650000)/1000*$F$5</f>
        <v>650</v>
      </c>
      <c r="G37" s="21">
        <f t="shared" si="0"/>
        <v>650</v>
      </c>
      <c r="H37" s="142" t="s">
        <v>121</v>
      </c>
      <c r="I37" s="34"/>
    </row>
    <row r="38" spans="1:9" ht="69" customHeight="1" x14ac:dyDescent="0.2">
      <c r="A38" s="16" t="s">
        <v>151</v>
      </c>
      <c r="B38" s="92" t="s">
        <v>252</v>
      </c>
      <c r="C38" s="586"/>
      <c r="D38" s="19" t="s">
        <v>51</v>
      </c>
      <c r="E38" s="19" t="s">
        <v>56</v>
      </c>
      <c r="F38" s="21">
        <f>(2300000)/1000*$F$5</f>
        <v>2300</v>
      </c>
      <c r="G38" s="21">
        <f>F38-(61506)/1000*$F$5</f>
        <v>2238.4940000000001</v>
      </c>
      <c r="H38" s="142" t="s">
        <v>121</v>
      </c>
      <c r="I38" s="34"/>
    </row>
    <row r="39" spans="1:9" ht="60" x14ac:dyDescent="0.2">
      <c r="A39" s="16" t="s">
        <v>152</v>
      </c>
      <c r="B39" s="92" t="s">
        <v>253</v>
      </c>
      <c r="C39" s="586"/>
      <c r="D39" s="19" t="s">
        <v>51</v>
      </c>
      <c r="E39" s="19" t="s">
        <v>124</v>
      </c>
      <c r="F39" s="21">
        <f>(2300000)/1000*$F$5</f>
        <v>2300</v>
      </c>
      <c r="G39" s="21">
        <f>F39-(0)/1000*$F$5</f>
        <v>2300</v>
      </c>
      <c r="H39" s="142" t="s">
        <v>172</v>
      </c>
      <c r="I39" s="34"/>
    </row>
    <row r="40" spans="1:9" ht="60" x14ac:dyDescent="0.2">
      <c r="A40" s="16" t="s">
        <v>153</v>
      </c>
      <c r="B40" s="92" t="s">
        <v>891</v>
      </c>
      <c r="C40" s="586"/>
      <c r="D40" s="19" t="s">
        <v>124</v>
      </c>
      <c r="E40" s="19" t="s">
        <v>129</v>
      </c>
      <c r="F40" s="21">
        <f>(1416000/1.18)/1000*$F$5</f>
        <v>1200</v>
      </c>
      <c r="G40" s="21">
        <f>F40-(0)/1000*$F$5</f>
        <v>1200</v>
      </c>
      <c r="H40" s="142" t="s">
        <v>128</v>
      </c>
      <c r="I40" s="34"/>
    </row>
    <row r="41" spans="1:9" ht="54.75" customHeight="1" x14ac:dyDescent="0.2">
      <c r="A41" s="16" t="s">
        <v>154</v>
      </c>
      <c r="B41" s="92" t="s">
        <v>254</v>
      </c>
      <c r="C41" s="586"/>
      <c r="D41" s="19" t="s">
        <v>49</v>
      </c>
      <c r="E41" s="19" t="s">
        <v>25</v>
      </c>
      <c r="F41" s="21">
        <f>(4600000)/1000*$F$5</f>
        <v>4600</v>
      </c>
      <c r="G41" s="21">
        <f>F41-(32790)/1000*$F$5</f>
        <v>4567.21</v>
      </c>
      <c r="H41" s="142" t="s">
        <v>130</v>
      </c>
      <c r="I41" s="34"/>
    </row>
    <row r="42" spans="1:9" ht="40.5" customHeight="1" x14ac:dyDescent="0.2">
      <c r="A42" s="16" t="s">
        <v>155</v>
      </c>
      <c r="B42" s="92" t="s">
        <v>255</v>
      </c>
      <c r="C42" s="586"/>
      <c r="D42" s="19" t="s">
        <v>56</v>
      </c>
      <c r="E42" s="19" t="s">
        <v>7</v>
      </c>
      <c r="F42" s="21">
        <f>(1896068)/1000*$F$5</f>
        <v>1896.068</v>
      </c>
      <c r="G42" s="21">
        <f>F42-(510000)/1000*$F$5</f>
        <v>1386.068</v>
      </c>
      <c r="H42" s="142" t="s">
        <v>131</v>
      </c>
      <c r="I42" s="34"/>
    </row>
    <row r="43" spans="1:9" ht="66" customHeight="1" x14ac:dyDescent="0.2">
      <c r="A43" s="16" t="s">
        <v>156</v>
      </c>
      <c r="B43" s="92" t="s">
        <v>893</v>
      </c>
      <c r="C43" s="586"/>
      <c r="D43" s="19" t="s">
        <v>132</v>
      </c>
      <c r="E43" s="19" t="s">
        <v>14</v>
      </c>
      <c r="F43" s="21">
        <f>(1420000)/1000*$F$5</f>
        <v>1420</v>
      </c>
      <c r="G43" s="21">
        <f>F43-(0)/1000*$F$5</f>
        <v>1420</v>
      </c>
      <c r="H43" s="142" t="s">
        <v>128</v>
      </c>
      <c r="I43" s="34"/>
    </row>
    <row r="44" spans="1:9" ht="48" x14ac:dyDescent="0.2">
      <c r="A44" s="16" t="s">
        <v>157</v>
      </c>
      <c r="B44" s="92" t="s">
        <v>895</v>
      </c>
      <c r="C44" s="586"/>
      <c r="D44" s="19" t="s">
        <v>4</v>
      </c>
      <c r="E44" s="24" t="s">
        <v>649</v>
      </c>
      <c r="F44" s="21">
        <f>(42143938)/1000*$F$5</f>
        <v>42143.938000000002</v>
      </c>
      <c r="G44" s="21">
        <f>F44-(27790161.6)/1000*$F$5</f>
        <v>14353.776399999999</v>
      </c>
      <c r="H44" s="142" t="s">
        <v>133</v>
      </c>
      <c r="I44" s="34"/>
    </row>
    <row r="45" spans="1:9" ht="48" x14ac:dyDescent="0.2">
      <c r="A45" s="16" t="s">
        <v>158</v>
      </c>
      <c r="B45" s="92" t="s">
        <v>844</v>
      </c>
      <c r="C45" s="586"/>
      <c r="D45" s="19" t="s">
        <v>4</v>
      </c>
      <c r="E45" s="19" t="s">
        <v>86</v>
      </c>
      <c r="F45" s="21">
        <f>(5583000)/1000*$F$5</f>
        <v>5583</v>
      </c>
      <c r="G45" s="21">
        <f>F45-(901966)/1000*$F$5</f>
        <v>4681.0339999999997</v>
      </c>
      <c r="H45" s="142" t="s">
        <v>134</v>
      </c>
      <c r="I45" s="34"/>
    </row>
    <row r="46" spans="1:9" ht="36" x14ac:dyDescent="0.2">
      <c r="A46" s="16" t="s">
        <v>159</v>
      </c>
      <c r="B46" s="92" t="s">
        <v>257</v>
      </c>
      <c r="C46" s="586"/>
      <c r="D46" s="19" t="s">
        <v>14</v>
      </c>
      <c r="E46" s="19" t="s">
        <v>7</v>
      </c>
      <c r="F46" s="21">
        <f>(7800000)/1000*$F$5</f>
        <v>7800</v>
      </c>
      <c r="G46" s="21">
        <f>F46-(886884)/1000*$F$5</f>
        <v>6913.116</v>
      </c>
      <c r="H46" s="142" t="s">
        <v>135</v>
      </c>
      <c r="I46" s="34"/>
    </row>
    <row r="47" spans="1:9" ht="36" x14ac:dyDescent="0.2">
      <c r="A47" s="16" t="s">
        <v>160</v>
      </c>
      <c r="B47" s="92" t="s">
        <v>258</v>
      </c>
      <c r="C47" s="586"/>
      <c r="D47" s="19" t="s">
        <v>58</v>
      </c>
      <c r="E47" s="19" t="s">
        <v>9</v>
      </c>
      <c r="F47" s="21">
        <f>(5200000)/1000*$F$5</f>
        <v>5200</v>
      </c>
      <c r="G47" s="21">
        <f>F47-(0)/1000*$F$5</f>
        <v>5200</v>
      </c>
      <c r="H47" s="142" t="s">
        <v>136</v>
      </c>
      <c r="I47" s="34"/>
    </row>
    <row r="48" spans="1:9" ht="36" x14ac:dyDescent="0.2">
      <c r="A48" s="16" t="s">
        <v>161</v>
      </c>
      <c r="B48" s="92" t="s">
        <v>259</v>
      </c>
      <c r="C48" s="586"/>
      <c r="D48" s="19" t="s">
        <v>93</v>
      </c>
      <c r="E48" s="19" t="s">
        <v>137</v>
      </c>
      <c r="F48" s="21">
        <f>(700000)/1000*$F$5</f>
        <v>700</v>
      </c>
      <c r="G48" s="21">
        <f>F48-(370000)/1000*$F$5</f>
        <v>330</v>
      </c>
      <c r="H48" s="142" t="s">
        <v>128</v>
      </c>
      <c r="I48" s="34"/>
    </row>
    <row r="49" spans="1:10" ht="60" x14ac:dyDescent="0.2">
      <c r="A49" s="16" t="s">
        <v>162</v>
      </c>
      <c r="B49" s="92" t="s">
        <v>260</v>
      </c>
      <c r="C49" s="586"/>
      <c r="D49" s="19" t="s">
        <v>137</v>
      </c>
      <c r="E49" s="19" t="s">
        <v>95</v>
      </c>
      <c r="F49" s="21">
        <f>(1050000)/1000*$F$5</f>
        <v>1050</v>
      </c>
      <c r="G49" s="21">
        <f t="shared" ref="G49:G57" si="1">F49-(0)/1000*$F$5</f>
        <v>1050</v>
      </c>
      <c r="H49" s="142" t="s">
        <v>128</v>
      </c>
      <c r="I49" s="34"/>
    </row>
    <row r="50" spans="1:10" ht="36" x14ac:dyDescent="0.2">
      <c r="A50" s="16" t="s">
        <v>163</v>
      </c>
      <c r="B50" s="92" t="s">
        <v>902</v>
      </c>
      <c r="C50" s="586"/>
      <c r="D50" s="19" t="s">
        <v>91</v>
      </c>
      <c r="E50" s="19" t="s">
        <v>95</v>
      </c>
      <c r="F50" s="21">
        <f>(3066113)/1000*$F$5</f>
        <v>3066.1129999999998</v>
      </c>
      <c r="G50" s="21">
        <f t="shared" si="1"/>
        <v>3066.1129999999998</v>
      </c>
      <c r="H50" s="142" t="s">
        <v>138</v>
      </c>
      <c r="I50" s="34"/>
    </row>
    <row r="51" spans="1:10" ht="36" x14ac:dyDescent="0.2">
      <c r="A51" s="16" t="s">
        <v>164</v>
      </c>
      <c r="B51" s="92" t="s">
        <v>261</v>
      </c>
      <c r="C51" s="586"/>
      <c r="D51" s="19" t="s">
        <v>60</v>
      </c>
      <c r="E51" s="19" t="s">
        <v>139</v>
      </c>
      <c r="F51" s="21">
        <f>(5238644)/1000*$F$5</f>
        <v>5238.6440000000002</v>
      </c>
      <c r="G51" s="21">
        <f t="shared" si="1"/>
        <v>5238.6440000000002</v>
      </c>
      <c r="H51" s="142" t="s">
        <v>140</v>
      </c>
      <c r="I51" s="34"/>
    </row>
    <row r="52" spans="1:10" ht="42.75" customHeight="1" x14ac:dyDescent="0.2">
      <c r="A52" s="16" t="s">
        <v>165</v>
      </c>
      <c r="B52" s="92" t="s">
        <v>262</v>
      </c>
      <c r="C52" s="586"/>
      <c r="D52" s="19" t="s">
        <v>95</v>
      </c>
      <c r="E52" s="19" t="s">
        <v>9</v>
      </c>
      <c r="F52" s="21">
        <f>(2995000)/1000*$F$5</f>
        <v>2995</v>
      </c>
      <c r="G52" s="21">
        <f t="shared" si="1"/>
        <v>2995</v>
      </c>
      <c r="H52" s="142" t="s">
        <v>140</v>
      </c>
      <c r="I52" s="34"/>
    </row>
    <row r="53" spans="1:10" ht="40.5" customHeight="1" x14ac:dyDescent="0.2">
      <c r="A53" s="16" t="s">
        <v>166</v>
      </c>
      <c r="B53" s="92" t="s">
        <v>263</v>
      </c>
      <c r="C53" s="586"/>
      <c r="D53" s="19" t="s">
        <v>141</v>
      </c>
      <c r="E53" s="24" t="s">
        <v>142</v>
      </c>
      <c r="F53" s="21">
        <f>(4930000)/1000*$F$5</f>
        <v>4930</v>
      </c>
      <c r="G53" s="21">
        <f t="shared" si="1"/>
        <v>4930</v>
      </c>
      <c r="H53" s="142" t="s">
        <v>143</v>
      </c>
      <c r="I53" s="34"/>
    </row>
    <row r="54" spans="1:10" ht="66" customHeight="1" x14ac:dyDescent="0.2">
      <c r="A54" s="16" t="s">
        <v>167</v>
      </c>
      <c r="B54" s="92" t="s">
        <v>264</v>
      </c>
      <c r="C54" s="586" t="s">
        <v>763</v>
      </c>
      <c r="D54" s="19" t="s">
        <v>86</v>
      </c>
      <c r="E54" s="19" t="s">
        <v>95</v>
      </c>
      <c r="F54" s="21">
        <f>(3048480)/1000*$F$5</f>
        <v>3048.48</v>
      </c>
      <c r="G54" s="21">
        <f t="shared" si="1"/>
        <v>3048.48</v>
      </c>
      <c r="H54" s="142" t="s">
        <v>144</v>
      </c>
      <c r="I54" s="34"/>
    </row>
    <row r="55" spans="1:10" ht="101.25" customHeight="1" x14ac:dyDescent="0.2">
      <c r="A55" s="16" t="s">
        <v>168</v>
      </c>
      <c r="B55" s="92" t="s">
        <v>265</v>
      </c>
      <c r="C55" s="586"/>
      <c r="D55" s="19" t="s">
        <v>103</v>
      </c>
      <c r="E55" s="24" t="s">
        <v>145</v>
      </c>
      <c r="F55" s="21">
        <f>(3942141)/1000*$F$5</f>
        <v>3942.1410000000001</v>
      </c>
      <c r="G55" s="21">
        <f t="shared" si="1"/>
        <v>3942.1410000000001</v>
      </c>
      <c r="H55" s="142" t="s">
        <v>143</v>
      </c>
      <c r="I55" s="34"/>
    </row>
    <row r="56" spans="1:10" ht="77.25" customHeight="1" x14ac:dyDescent="0.2">
      <c r="A56" s="16" t="s">
        <v>297</v>
      </c>
      <c r="B56" s="92" t="s">
        <v>296</v>
      </c>
      <c r="C56" s="586" t="s">
        <v>650</v>
      </c>
      <c r="D56" s="19" t="s">
        <v>13</v>
      </c>
      <c r="E56" s="24" t="s">
        <v>48</v>
      </c>
      <c r="F56" s="21">
        <f>(1397275.21)/1000*$F$5</f>
        <v>1397.27521</v>
      </c>
      <c r="G56" s="21">
        <f t="shared" si="1"/>
        <v>1397.27521</v>
      </c>
      <c r="H56" s="142" t="s">
        <v>144</v>
      </c>
      <c r="I56" s="34"/>
    </row>
    <row r="57" spans="1:10" ht="90" customHeight="1" x14ac:dyDescent="0.2">
      <c r="A57" s="16" t="s">
        <v>306</v>
      </c>
      <c r="B57" s="92" t="s">
        <v>298</v>
      </c>
      <c r="C57" s="587"/>
      <c r="D57" s="19" t="s">
        <v>78</v>
      </c>
      <c r="E57" s="24" t="s">
        <v>52</v>
      </c>
      <c r="F57" s="21">
        <f>(1460000)/1000*$F$5</f>
        <v>1460</v>
      </c>
      <c r="G57" s="21">
        <f t="shared" si="1"/>
        <v>1460</v>
      </c>
      <c r="H57" s="142" t="s">
        <v>144</v>
      </c>
      <c r="I57" s="34"/>
    </row>
    <row r="58" spans="1:10" ht="48.75" customHeight="1" x14ac:dyDescent="0.2">
      <c r="A58" s="52" t="s">
        <v>186</v>
      </c>
      <c r="B58" s="94" t="s">
        <v>799</v>
      </c>
      <c r="C58" s="585" t="s">
        <v>333</v>
      </c>
      <c r="D58" s="18"/>
      <c r="E58" s="46"/>
      <c r="F58" s="146"/>
      <c r="G58" s="146"/>
      <c r="H58" s="141"/>
      <c r="I58" s="35"/>
    </row>
    <row r="59" spans="1:10" ht="58.5" customHeight="1" x14ac:dyDescent="0.2">
      <c r="A59" s="16" t="s">
        <v>173</v>
      </c>
      <c r="B59" s="92" t="s">
        <v>220</v>
      </c>
      <c r="C59" s="586"/>
      <c r="D59" s="19" t="s">
        <v>25</v>
      </c>
      <c r="E59" s="24" t="s">
        <v>86</v>
      </c>
      <c r="F59" s="21">
        <f>(5990000)/1000*$F$5</f>
        <v>5990</v>
      </c>
      <c r="G59" s="21">
        <f>F59-(2790000)/1000*$F$5</f>
        <v>3200</v>
      </c>
      <c r="H59" s="142" t="s">
        <v>184</v>
      </c>
      <c r="I59" s="34"/>
    </row>
    <row r="60" spans="1:10" ht="64.5" customHeight="1" x14ac:dyDescent="0.2">
      <c r="A60" s="16" t="s">
        <v>187</v>
      </c>
      <c r="B60" s="92" t="s">
        <v>221</v>
      </c>
      <c r="C60" s="586"/>
      <c r="D60" s="24" t="s">
        <v>86</v>
      </c>
      <c r="E60" s="24" t="s">
        <v>139</v>
      </c>
      <c r="F60" s="21">
        <f>(6100000)/1000*$F$5</f>
        <v>6100</v>
      </c>
      <c r="G60" s="21">
        <f>F60-(2790)/1000*$F$5</f>
        <v>6097.21</v>
      </c>
      <c r="H60" s="142" t="s">
        <v>185</v>
      </c>
      <c r="I60" s="34"/>
    </row>
    <row r="61" spans="1:10" ht="165.75" customHeight="1" x14ac:dyDescent="0.2">
      <c r="A61" s="17" t="s">
        <v>188</v>
      </c>
      <c r="B61" s="93" t="s">
        <v>222</v>
      </c>
      <c r="C61" s="138" t="s">
        <v>651</v>
      </c>
      <c r="D61" s="12" t="s">
        <v>46</v>
      </c>
      <c r="E61" s="55" t="s">
        <v>48</v>
      </c>
      <c r="F61" s="147">
        <f>(22567584.09)/1000*$F$5</f>
        <v>22567.58409</v>
      </c>
      <c r="G61" s="147">
        <f>F61-(1513641+2800000+165000)/1000*$F$5</f>
        <v>18088.943090000001</v>
      </c>
      <c r="H61" s="148" t="s">
        <v>189</v>
      </c>
      <c r="I61" s="32"/>
    </row>
    <row r="62" spans="1:10" ht="52.5" customHeight="1" x14ac:dyDescent="0.2">
      <c r="A62" s="52" t="s">
        <v>190</v>
      </c>
      <c r="B62" s="94" t="s">
        <v>307</v>
      </c>
      <c r="C62" s="585" t="s">
        <v>656</v>
      </c>
      <c r="D62" s="19"/>
      <c r="E62" s="24"/>
      <c r="F62" s="21"/>
      <c r="G62" s="21"/>
      <c r="H62" s="142"/>
      <c r="I62" s="34"/>
    </row>
    <row r="63" spans="1:10" ht="81" customHeight="1" x14ac:dyDescent="0.2">
      <c r="A63" s="16" t="s">
        <v>191</v>
      </c>
      <c r="B63" s="92" t="s">
        <v>925</v>
      </c>
      <c r="C63" s="586"/>
      <c r="D63" s="19" t="s">
        <v>223</v>
      </c>
      <c r="E63" s="24" t="s">
        <v>658</v>
      </c>
      <c r="F63" s="21">
        <f>(755098153.19/1.18)/1000*$F$5</f>
        <v>639913.68914406793</v>
      </c>
      <c r="G63" s="21">
        <f>F63-(3069504.4)/1000*$F$5</f>
        <v>636844.18474406796</v>
      </c>
      <c r="H63" s="142" t="s">
        <v>224</v>
      </c>
      <c r="I63" s="34"/>
      <c r="J63" s="1" t="s">
        <v>657</v>
      </c>
    </row>
    <row r="64" spans="1:10" ht="81.75" customHeight="1" x14ac:dyDescent="0.2">
      <c r="A64" s="16" t="s">
        <v>192</v>
      </c>
      <c r="B64" s="92" t="s">
        <v>926</v>
      </c>
      <c r="C64" s="586"/>
      <c r="D64" s="19" t="s">
        <v>31</v>
      </c>
      <c r="E64" s="19" t="s">
        <v>11</v>
      </c>
      <c r="F64" s="21">
        <f>(263049495)/1000*$F$5</f>
        <v>263049.495</v>
      </c>
      <c r="G64" s="21">
        <f>F64-(3429672+4392871+1527542)/1000*$F$5</f>
        <v>253699.41</v>
      </c>
      <c r="H64" s="142" t="s">
        <v>225</v>
      </c>
      <c r="I64" s="34"/>
    </row>
    <row r="65" spans="1:10" ht="60" x14ac:dyDescent="0.2">
      <c r="A65" s="16" t="s">
        <v>193</v>
      </c>
      <c r="B65" s="92" t="s">
        <v>226</v>
      </c>
      <c r="C65" s="586"/>
      <c r="D65" s="19" t="s">
        <v>227</v>
      </c>
      <c r="E65" s="24" t="s">
        <v>660</v>
      </c>
      <c r="F65" s="21">
        <f>(1073038839.44)/1000*$F$5</f>
        <v>1073038.83944</v>
      </c>
      <c r="G65" s="21">
        <f>F65-(213273640+1475718+31875722+14558003+15523386+31999188+33739055+9912986+24735430)/1000*$F$5</f>
        <v>695945.71143999998</v>
      </c>
      <c r="H65" s="142" t="s">
        <v>185</v>
      </c>
      <c r="I65" s="34"/>
      <c r="J65" s="1" t="s">
        <v>659</v>
      </c>
    </row>
    <row r="66" spans="1:10" ht="48" x14ac:dyDescent="0.2">
      <c r="A66" s="16" t="s">
        <v>194</v>
      </c>
      <c r="B66" s="92" t="s">
        <v>228</v>
      </c>
      <c r="C66" s="586"/>
      <c r="D66" s="19" t="s">
        <v>13</v>
      </c>
      <c r="E66" s="24" t="s">
        <v>661</v>
      </c>
      <c r="F66" s="21">
        <f>(580672306.54)/1000*$F$5</f>
        <v>580672.30654000002</v>
      </c>
      <c r="G66" s="21">
        <f>F66-(131445396+7611196+8912693+1312680)/1000*$F$5</f>
        <v>431390.34154000005</v>
      </c>
      <c r="H66" s="142" t="s">
        <v>229</v>
      </c>
      <c r="I66" s="34"/>
      <c r="J66" s="1" t="s">
        <v>662</v>
      </c>
    </row>
    <row r="67" spans="1:10" ht="60" x14ac:dyDescent="0.2">
      <c r="A67" s="16" t="s">
        <v>195</v>
      </c>
      <c r="B67" s="92" t="s">
        <v>236</v>
      </c>
      <c r="C67" s="586"/>
      <c r="D67" s="19" t="s">
        <v>61</v>
      </c>
      <c r="E67" s="24" t="s">
        <v>664</v>
      </c>
      <c r="F67" s="21">
        <f>(80521374.83)/1000*$F$5</f>
        <v>80521.374830000001</v>
      </c>
      <c r="G67" s="21">
        <f t="shared" ref="G67:G82" si="2">F67-(0)/1000*$F$5</f>
        <v>80521.374830000001</v>
      </c>
      <c r="H67" s="142" t="s">
        <v>237</v>
      </c>
      <c r="I67" s="34"/>
      <c r="J67" s="1" t="s">
        <v>663</v>
      </c>
    </row>
    <row r="68" spans="1:10" ht="48" x14ac:dyDescent="0.2">
      <c r="A68" s="16" t="s">
        <v>196</v>
      </c>
      <c r="B68" s="92" t="s">
        <v>238</v>
      </c>
      <c r="C68" s="586"/>
      <c r="D68" s="19" t="s">
        <v>103</v>
      </c>
      <c r="E68" s="24" t="s">
        <v>666</v>
      </c>
      <c r="F68" s="21">
        <f>(36517483.6/1.18)/1000*$F$5</f>
        <v>30947.020000000004</v>
      </c>
      <c r="G68" s="21">
        <f t="shared" si="2"/>
        <v>30947.020000000004</v>
      </c>
      <c r="H68" s="142" t="s">
        <v>239</v>
      </c>
      <c r="I68" s="34"/>
      <c r="J68" s="1" t="s">
        <v>665</v>
      </c>
    </row>
    <row r="69" spans="1:10" ht="68.25" customHeight="1" x14ac:dyDescent="0.2">
      <c r="A69" s="16" t="s">
        <v>197</v>
      </c>
      <c r="B69" s="92" t="s">
        <v>334</v>
      </c>
      <c r="C69" s="137" t="s">
        <v>234</v>
      </c>
      <c r="D69" s="19" t="s">
        <v>35</v>
      </c>
      <c r="E69" s="19" t="s">
        <v>230</v>
      </c>
      <c r="F69" s="21">
        <f>(11102044)/1000*$F$5</f>
        <v>11102.044</v>
      </c>
      <c r="G69" s="21">
        <f t="shared" si="2"/>
        <v>11102.044</v>
      </c>
      <c r="H69" s="142" t="s">
        <v>335</v>
      </c>
      <c r="I69" s="34"/>
    </row>
    <row r="70" spans="1:10" ht="52.5" customHeight="1" x14ac:dyDescent="0.2">
      <c r="A70" s="16" t="s">
        <v>198</v>
      </c>
      <c r="B70" s="92" t="s">
        <v>232</v>
      </c>
      <c r="C70" s="137"/>
      <c r="D70" s="19" t="s">
        <v>61</v>
      </c>
      <c r="E70" s="19" t="s">
        <v>61</v>
      </c>
      <c r="F70" s="21">
        <f>(1441492)/1000*$F$5</f>
        <v>1441.492</v>
      </c>
      <c r="G70" s="21">
        <f t="shared" si="2"/>
        <v>1441.492</v>
      </c>
      <c r="H70" s="142" t="s">
        <v>235</v>
      </c>
      <c r="I70" s="34"/>
    </row>
    <row r="71" spans="1:10" ht="36" x14ac:dyDescent="0.2">
      <c r="A71" s="16" t="s">
        <v>199</v>
      </c>
      <c r="B71" s="92" t="s">
        <v>240</v>
      </c>
      <c r="C71" s="137"/>
      <c r="D71" s="19" t="s">
        <v>62</v>
      </c>
      <c r="E71" s="19" t="s">
        <v>16</v>
      </c>
      <c r="F71" s="21">
        <f>(2545771)/1000*$F$5</f>
        <v>2545.7710000000002</v>
      </c>
      <c r="G71" s="21">
        <f t="shared" si="2"/>
        <v>2545.7710000000002</v>
      </c>
      <c r="H71" s="142" t="s">
        <v>241</v>
      </c>
      <c r="I71" s="34"/>
    </row>
    <row r="72" spans="1:10" s="60" customFormat="1" ht="60" x14ac:dyDescent="0.2">
      <c r="A72" s="56" t="s">
        <v>200</v>
      </c>
      <c r="B72" s="57" t="s">
        <v>233</v>
      </c>
      <c r="C72" s="139"/>
      <c r="D72" s="19" t="s">
        <v>101</v>
      </c>
      <c r="E72" s="19" t="s">
        <v>101</v>
      </c>
      <c r="F72" s="21">
        <f>(623681)/1000*$F$5</f>
        <v>623.68100000000004</v>
      </c>
      <c r="G72" s="21">
        <f t="shared" si="2"/>
        <v>623.68100000000004</v>
      </c>
      <c r="H72" s="58" t="s">
        <v>231</v>
      </c>
      <c r="I72" s="59"/>
    </row>
    <row r="73" spans="1:10" ht="144" x14ac:dyDescent="0.2">
      <c r="A73" s="16" t="s">
        <v>201</v>
      </c>
      <c r="B73" s="5" t="s">
        <v>29</v>
      </c>
      <c r="C73" s="142" t="s">
        <v>667</v>
      </c>
      <c r="D73" s="19" t="s">
        <v>8</v>
      </c>
      <c r="E73" s="19" t="s">
        <v>9</v>
      </c>
      <c r="F73" s="21">
        <f>(33456472)/1000*$F$5</f>
        <v>33456.472000000002</v>
      </c>
      <c r="G73" s="21">
        <f t="shared" si="2"/>
        <v>33456.472000000002</v>
      </c>
      <c r="H73" s="142" t="s">
        <v>32</v>
      </c>
      <c r="I73" s="34"/>
    </row>
    <row r="74" spans="1:10" ht="132" x14ac:dyDescent="0.2">
      <c r="A74" s="16" t="s">
        <v>202</v>
      </c>
      <c r="B74" s="5" t="s">
        <v>544</v>
      </c>
      <c r="C74" s="142" t="s">
        <v>764</v>
      </c>
      <c r="D74" s="19" t="s">
        <v>48</v>
      </c>
      <c r="E74" s="19" t="s">
        <v>9</v>
      </c>
      <c r="F74" s="21">
        <f>(96537111)/1000*$F$5</f>
        <v>96537.111000000004</v>
      </c>
      <c r="G74" s="21">
        <f>F74-(0)/1000*$F$5</f>
        <v>96537.111000000004</v>
      </c>
      <c r="H74" s="142" t="s">
        <v>545</v>
      </c>
      <c r="I74" s="34"/>
      <c r="J74" s="1" t="s">
        <v>546</v>
      </c>
    </row>
    <row r="75" spans="1:10" ht="96" x14ac:dyDescent="0.2">
      <c r="A75" s="16" t="s">
        <v>203</v>
      </c>
      <c r="B75" s="5" t="s">
        <v>30</v>
      </c>
      <c r="C75" s="142" t="s">
        <v>336</v>
      </c>
      <c r="D75" s="19" t="s">
        <v>13</v>
      </c>
      <c r="E75" s="19" t="s">
        <v>181</v>
      </c>
      <c r="F75" s="21">
        <f>(28683341.69)/1000*$F$5</f>
        <v>28683.341690000001</v>
      </c>
      <c r="G75" s="21">
        <f>F75-(5640762+8136815)/1000*$F$5</f>
        <v>14905.764690000002</v>
      </c>
      <c r="H75" s="142" t="s">
        <v>34</v>
      </c>
      <c r="I75" s="34"/>
    </row>
    <row r="76" spans="1:10" ht="48" x14ac:dyDescent="0.2">
      <c r="A76" s="16" t="s">
        <v>204</v>
      </c>
      <c r="B76" s="5" t="s">
        <v>30</v>
      </c>
      <c r="C76" s="137" t="s">
        <v>337</v>
      </c>
      <c r="D76" s="19" t="s">
        <v>8</v>
      </c>
      <c r="E76" s="19" t="s">
        <v>295</v>
      </c>
      <c r="F76" s="21">
        <f>(2645492)/1000*$F$5</f>
        <v>2645.4920000000002</v>
      </c>
      <c r="G76" s="21">
        <f t="shared" si="2"/>
        <v>2645.4920000000002</v>
      </c>
      <c r="H76" s="142" t="s">
        <v>294</v>
      </c>
      <c r="I76" s="34"/>
    </row>
    <row r="77" spans="1:10" ht="80.25" customHeight="1" x14ac:dyDescent="0.2">
      <c r="A77" s="16" t="s">
        <v>205</v>
      </c>
      <c r="B77" s="5" t="s">
        <v>299</v>
      </c>
      <c r="C77" s="137" t="s">
        <v>699</v>
      </c>
      <c r="D77" s="19" t="s">
        <v>36</v>
      </c>
      <c r="E77" s="19" t="s">
        <v>37</v>
      </c>
      <c r="F77" s="21">
        <v>8400</v>
      </c>
      <c r="G77" s="21">
        <v>8400</v>
      </c>
      <c r="H77" s="142" t="s">
        <v>38</v>
      </c>
      <c r="I77" s="34"/>
    </row>
    <row r="78" spans="1:10" ht="112.5" customHeight="1" x14ac:dyDescent="0.2">
      <c r="A78" s="16" t="s">
        <v>206</v>
      </c>
      <c r="B78" s="92" t="s">
        <v>23</v>
      </c>
      <c r="C78" s="137" t="s">
        <v>10</v>
      </c>
      <c r="D78" s="19" t="s">
        <v>12</v>
      </c>
      <c r="E78" s="19" t="s">
        <v>25</v>
      </c>
      <c r="F78" s="21">
        <f>(6953730.8)/1000*$F$5</f>
        <v>6953.7307999999994</v>
      </c>
      <c r="G78" s="21">
        <f>F78-(0)/1000*$F$5</f>
        <v>6953.7307999999994</v>
      </c>
      <c r="H78" s="142" t="s">
        <v>27</v>
      </c>
      <c r="I78" s="34"/>
    </row>
    <row r="79" spans="1:10" ht="67.5" customHeight="1" x14ac:dyDescent="0.2">
      <c r="A79" s="16" t="s">
        <v>207</v>
      </c>
      <c r="B79" s="92" t="s">
        <v>300</v>
      </c>
      <c r="C79" s="137" t="s">
        <v>302</v>
      </c>
      <c r="D79" s="19" t="s">
        <v>5</v>
      </c>
      <c r="E79" s="19" t="s">
        <v>7</v>
      </c>
      <c r="F79" s="21">
        <f>(3599389.4/1.18)/1000*$F$5</f>
        <v>3050.33</v>
      </c>
      <c r="G79" s="21">
        <f t="shared" si="2"/>
        <v>3050.33</v>
      </c>
      <c r="H79" s="142" t="s">
        <v>301</v>
      </c>
      <c r="I79" s="34"/>
    </row>
    <row r="80" spans="1:10" ht="72" x14ac:dyDescent="0.2">
      <c r="A80" s="16" t="s">
        <v>668</v>
      </c>
      <c r="B80" s="92" t="s">
        <v>303</v>
      </c>
      <c r="C80" s="137" t="s">
        <v>305</v>
      </c>
      <c r="D80" s="19" t="s">
        <v>139</v>
      </c>
      <c r="E80" s="19" t="s">
        <v>211</v>
      </c>
      <c r="F80" s="21">
        <f>(5412330)/1000*$F$5</f>
        <v>5412.33</v>
      </c>
      <c r="G80" s="21">
        <f t="shared" si="2"/>
        <v>5412.33</v>
      </c>
      <c r="H80" s="142" t="s">
        <v>304</v>
      </c>
      <c r="I80" s="34"/>
      <c r="J80" s="1" t="s">
        <v>622</v>
      </c>
    </row>
    <row r="81" spans="1:9" hidden="1" x14ac:dyDescent="0.2">
      <c r="A81" s="16"/>
      <c r="B81" s="92"/>
      <c r="C81" s="137"/>
      <c r="D81" s="19"/>
      <c r="E81" s="24"/>
      <c r="F81" s="147">
        <f>(0)/1000*$F$5</f>
        <v>0</v>
      </c>
      <c r="G81" s="147">
        <f t="shared" si="2"/>
        <v>0</v>
      </c>
      <c r="H81" s="142"/>
      <c r="I81" s="34"/>
    </row>
    <row r="82" spans="1:9" hidden="1" x14ac:dyDescent="0.2">
      <c r="A82" s="16"/>
      <c r="B82" s="92"/>
      <c r="C82" s="137"/>
      <c r="D82" s="19"/>
      <c r="E82" s="24"/>
      <c r="F82" s="147">
        <f>(0)/1000*$F$5</f>
        <v>0</v>
      </c>
      <c r="G82" s="147">
        <f t="shared" si="2"/>
        <v>0</v>
      </c>
      <c r="H82" s="142"/>
      <c r="I82" s="34"/>
    </row>
    <row r="83" spans="1:9" hidden="1" x14ac:dyDescent="0.2">
      <c r="A83" s="16"/>
      <c r="B83" s="92"/>
      <c r="C83" s="137"/>
      <c r="D83" s="19"/>
      <c r="E83" s="24"/>
      <c r="F83" s="21"/>
      <c r="G83" s="21"/>
      <c r="H83" s="142"/>
      <c r="I83" s="34"/>
    </row>
    <row r="84" spans="1:9" ht="48" x14ac:dyDescent="0.2">
      <c r="A84" s="47" t="s">
        <v>308</v>
      </c>
      <c r="B84" s="94" t="s">
        <v>338</v>
      </c>
      <c r="C84" s="585" t="s">
        <v>169</v>
      </c>
      <c r="D84" s="18"/>
      <c r="E84" s="18"/>
      <c r="F84" s="146">
        <f>(0)/1000*$F$5</f>
        <v>0</v>
      </c>
      <c r="G84" s="146">
        <f t="shared" ref="G84:G95" si="3">F84-(0)/1000*$F$5</f>
        <v>0</v>
      </c>
      <c r="H84" s="141"/>
      <c r="I84" s="35"/>
    </row>
    <row r="85" spans="1:9" ht="36" x14ac:dyDescent="0.2">
      <c r="A85" s="16" t="s">
        <v>213</v>
      </c>
      <c r="B85" s="92" t="s">
        <v>266</v>
      </c>
      <c r="C85" s="586"/>
      <c r="D85" s="19" t="s">
        <v>174</v>
      </c>
      <c r="E85" s="19" t="s">
        <v>8</v>
      </c>
      <c r="F85" s="21">
        <f>(1935198.82/1.18)/1000*$F$5</f>
        <v>1639.9990000000003</v>
      </c>
      <c r="G85" s="21">
        <f t="shared" si="3"/>
        <v>1639.9990000000003</v>
      </c>
      <c r="H85" s="142" t="s">
        <v>128</v>
      </c>
      <c r="I85" s="34"/>
    </row>
    <row r="86" spans="1:9" ht="36" x14ac:dyDescent="0.2">
      <c r="A86" s="16" t="s">
        <v>214</v>
      </c>
      <c r="B86" s="92" t="s">
        <v>267</v>
      </c>
      <c r="C86" s="586"/>
      <c r="D86" s="19" t="s">
        <v>46</v>
      </c>
      <c r="E86" s="19" t="s">
        <v>126</v>
      </c>
      <c r="F86" s="21">
        <f>(570000)/1000*$F$5</f>
        <v>570</v>
      </c>
      <c r="G86" s="21">
        <f t="shared" si="3"/>
        <v>570</v>
      </c>
      <c r="H86" s="142" t="s">
        <v>175</v>
      </c>
      <c r="I86" s="34"/>
    </row>
    <row r="87" spans="1:9" ht="36" x14ac:dyDescent="0.2">
      <c r="A87" s="16" t="s">
        <v>215</v>
      </c>
      <c r="B87" s="92" t="s">
        <v>268</v>
      </c>
      <c r="C87" s="586"/>
      <c r="D87" s="19" t="s">
        <v>176</v>
      </c>
      <c r="E87" s="19" t="s">
        <v>176</v>
      </c>
      <c r="F87" s="21">
        <f>(259600/1.18)/1000*$F$5</f>
        <v>220</v>
      </c>
      <c r="G87" s="21">
        <f t="shared" si="3"/>
        <v>220</v>
      </c>
      <c r="H87" s="142" t="s">
        <v>128</v>
      </c>
      <c r="I87" s="34"/>
    </row>
    <row r="88" spans="1:9" ht="36" x14ac:dyDescent="0.2">
      <c r="A88" s="16" t="s">
        <v>216</v>
      </c>
      <c r="B88" s="92" t="s">
        <v>269</v>
      </c>
      <c r="C88" s="586"/>
      <c r="D88" s="19" t="s">
        <v>177</v>
      </c>
      <c r="E88" s="19" t="s">
        <v>177</v>
      </c>
      <c r="F88" s="21">
        <f>(218300/1.18)/1000*$F$5</f>
        <v>185</v>
      </c>
      <c r="G88" s="21">
        <f t="shared" si="3"/>
        <v>185</v>
      </c>
      <c r="H88" s="142" t="s">
        <v>128</v>
      </c>
      <c r="I88" s="34"/>
    </row>
    <row r="89" spans="1:9" ht="62.25" customHeight="1" x14ac:dyDescent="0.2">
      <c r="A89" s="16" t="s">
        <v>217</v>
      </c>
      <c r="B89" s="92" t="s">
        <v>270</v>
      </c>
      <c r="C89" s="586"/>
      <c r="D89" s="19" t="s">
        <v>177</v>
      </c>
      <c r="E89" s="19" t="s">
        <v>54</v>
      </c>
      <c r="F89" s="21">
        <f>(390000)/1000*$F$5</f>
        <v>390</v>
      </c>
      <c r="G89" s="21">
        <f t="shared" si="3"/>
        <v>390</v>
      </c>
      <c r="H89" s="142" t="s">
        <v>175</v>
      </c>
      <c r="I89" s="34"/>
    </row>
    <row r="90" spans="1:9" ht="24" x14ac:dyDescent="0.2">
      <c r="A90" s="16" t="s">
        <v>309</v>
      </c>
      <c r="B90" s="92" t="s">
        <v>271</v>
      </c>
      <c r="C90" s="586"/>
      <c r="D90" s="19" t="s">
        <v>12</v>
      </c>
      <c r="E90" s="19" t="s">
        <v>12</v>
      </c>
      <c r="F90" s="21">
        <f>(279660/1.18)/1000*$F$5</f>
        <v>237</v>
      </c>
      <c r="G90" s="21">
        <f t="shared" si="3"/>
        <v>237</v>
      </c>
      <c r="H90" s="142" t="s">
        <v>178</v>
      </c>
      <c r="I90" s="34"/>
    </row>
    <row r="91" spans="1:9" ht="36" x14ac:dyDescent="0.2">
      <c r="A91" s="16" t="s">
        <v>310</v>
      </c>
      <c r="B91" s="92" t="s">
        <v>272</v>
      </c>
      <c r="C91" s="586"/>
      <c r="D91" s="19" t="s">
        <v>179</v>
      </c>
      <c r="E91" s="19" t="s">
        <v>52</v>
      </c>
      <c r="F91" s="21">
        <f>(731598.82/1.18)/1000*$F$5</f>
        <v>619.99900000000002</v>
      </c>
      <c r="G91" s="21">
        <f t="shared" si="3"/>
        <v>619.99900000000002</v>
      </c>
      <c r="H91" s="142" t="s">
        <v>178</v>
      </c>
      <c r="I91" s="34"/>
    </row>
    <row r="92" spans="1:9" ht="24" x14ac:dyDescent="0.2">
      <c r="A92" s="16" t="s">
        <v>311</v>
      </c>
      <c r="B92" s="92" t="s">
        <v>273</v>
      </c>
      <c r="C92" s="586"/>
      <c r="D92" s="19" t="s">
        <v>181</v>
      </c>
      <c r="E92" s="19" t="s">
        <v>51</v>
      </c>
      <c r="F92" s="21">
        <f>(70800/1.18)/1000*$F$5</f>
        <v>60</v>
      </c>
      <c r="G92" s="21">
        <f t="shared" si="3"/>
        <v>60</v>
      </c>
      <c r="H92" s="142" t="s">
        <v>180</v>
      </c>
      <c r="I92" s="34"/>
    </row>
    <row r="93" spans="1:9" ht="60" x14ac:dyDescent="0.2">
      <c r="A93" s="16" t="s">
        <v>312</v>
      </c>
      <c r="B93" s="92" t="s">
        <v>274</v>
      </c>
      <c r="C93" s="586"/>
      <c r="D93" s="19" t="s">
        <v>56</v>
      </c>
      <c r="E93" s="19" t="s">
        <v>129</v>
      </c>
      <c r="F93" s="21">
        <f>(300000)/1000*$F$5</f>
        <v>300</v>
      </c>
      <c r="G93" s="21">
        <f t="shared" si="3"/>
        <v>300</v>
      </c>
      <c r="H93" s="142" t="s">
        <v>178</v>
      </c>
      <c r="I93" s="34"/>
    </row>
    <row r="94" spans="1:9" ht="60" x14ac:dyDescent="0.2">
      <c r="A94" s="16" t="s">
        <v>313</v>
      </c>
      <c r="B94" s="92" t="s">
        <v>275</v>
      </c>
      <c r="C94" s="586"/>
      <c r="D94" s="19" t="s">
        <v>56</v>
      </c>
      <c r="E94" s="19" t="s">
        <v>52</v>
      </c>
      <c r="F94" s="21">
        <f>(780000)/1000*$F$5</f>
        <v>780</v>
      </c>
      <c r="G94" s="21">
        <f t="shared" si="3"/>
        <v>780</v>
      </c>
      <c r="H94" s="142" t="s">
        <v>175</v>
      </c>
      <c r="I94" s="34"/>
    </row>
    <row r="95" spans="1:9" x14ac:dyDescent="0.2">
      <c r="A95" s="16" t="s">
        <v>314</v>
      </c>
      <c r="B95" s="48" t="s">
        <v>276</v>
      </c>
      <c r="C95" s="49"/>
      <c r="D95" s="19" t="s">
        <v>132</v>
      </c>
      <c r="E95" s="19" t="s">
        <v>7</v>
      </c>
      <c r="F95" s="21">
        <f>(2285000)/1000*$F$5</f>
        <v>2285</v>
      </c>
      <c r="G95" s="21">
        <f t="shared" si="3"/>
        <v>2285</v>
      </c>
      <c r="H95" s="142" t="s">
        <v>182</v>
      </c>
      <c r="I95" s="34"/>
    </row>
    <row r="96" spans="1:9" ht="36" x14ac:dyDescent="0.2">
      <c r="A96" s="16" t="s">
        <v>315</v>
      </c>
      <c r="B96" s="92" t="s">
        <v>277</v>
      </c>
      <c r="C96" s="49"/>
      <c r="D96" s="19" t="s">
        <v>4</v>
      </c>
      <c r="E96" s="19" t="s">
        <v>14</v>
      </c>
      <c r="F96" s="21">
        <f>(7400000)/1000*$F$5</f>
        <v>7400</v>
      </c>
      <c r="G96" s="21">
        <f>F96-(3960545+263553)/1000*$F$5</f>
        <v>3175.902</v>
      </c>
      <c r="H96" s="142" t="s">
        <v>136</v>
      </c>
      <c r="I96" s="34"/>
    </row>
    <row r="97" spans="1:9" x14ac:dyDescent="0.2">
      <c r="A97" s="16" t="s">
        <v>316</v>
      </c>
      <c r="B97" s="92" t="s">
        <v>278</v>
      </c>
      <c r="C97" s="49"/>
      <c r="D97" s="19" t="s">
        <v>24</v>
      </c>
      <c r="E97" s="19" t="s">
        <v>95</v>
      </c>
      <c r="F97" s="21">
        <f>(1949000)/1000*$F$5</f>
        <v>1949</v>
      </c>
      <c r="G97" s="21">
        <f>F97-(0)/1000*$F$5</f>
        <v>1949</v>
      </c>
      <c r="H97" s="142" t="s">
        <v>182</v>
      </c>
      <c r="I97" s="34"/>
    </row>
    <row r="98" spans="1:9" x14ac:dyDescent="0.2">
      <c r="A98" s="16" t="s">
        <v>317</v>
      </c>
      <c r="B98" s="92" t="s">
        <v>279</v>
      </c>
      <c r="C98" s="49"/>
      <c r="D98" s="19" t="s">
        <v>91</v>
      </c>
      <c r="E98" s="19" t="s">
        <v>93</v>
      </c>
      <c r="F98" s="21">
        <f>(460000)/1000*$F$5</f>
        <v>460</v>
      </c>
      <c r="G98" s="21">
        <f>F98-(0)/1000*$F$5</f>
        <v>460</v>
      </c>
      <c r="H98" s="142" t="s">
        <v>182</v>
      </c>
      <c r="I98" s="34"/>
    </row>
    <row r="99" spans="1:9" ht="36" x14ac:dyDescent="0.2">
      <c r="A99" s="16" t="s">
        <v>318</v>
      </c>
      <c r="B99" s="92" t="s">
        <v>280</v>
      </c>
      <c r="C99" s="49"/>
      <c r="D99" s="19" t="s">
        <v>137</v>
      </c>
      <c r="E99" s="19" t="s">
        <v>139</v>
      </c>
      <c r="F99" s="21">
        <f>(777278)/1000*$F$5</f>
        <v>777.27800000000002</v>
      </c>
      <c r="G99" s="21">
        <f>F99-(98229)/1000*$F$5</f>
        <v>679.04899999999998</v>
      </c>
      <c r="H99" s="142" t="s">
        <v>183</v>
      </c>
      <c r="I99" s="34"/>
    </row>
    <row r="100" spans="1:9" ht="36" x14ac:dyDescent="0.2">
      <c r="A100" s="16" t="s">
        <v>319</v>
      </c>
      <c r="B100" s="92" t="s">
        <v>281</v>
      </c>
      <c r="C100" s="49"/>
      <c r="D100" s="19" t="s">
        <v>137</v>
      </c>
      <c r="E100" s="19" t="s">
        <v>139</v>
      </c>
      <c r="F100" s="21">
        <f>(956000)/1000*$F$5</f>
        <v>956</v>
      </c>
      <c r="G100" s="21">
        <f>F100-(341273)/1000*$F$5</f>
        <v>614.72699999999998</v>
      </c>
      <c r="H100" s="142" t="s">
        <v>183</v>
      </c>
      <c r="I100" s="34"/>
    </row>
    <row r="101" spans="1:9" ht="36" x14ac:dyDescent="0.2">
      <c r="A101" s="16" t="s">
        <v>320</v>
      </c>
      <c r="B101" s="92" t="s">
        <v>282</v>
      </c>
      <c r="C101" s="49"/>
      <c r="D101" s="19" t="s">
        <v>137</v>
      </c>
      <c r="E101" s="19" t="s">
        <v>139</v>
      </c>
      <c r="F101" s="21">
        <f>(790000)/1000*$F$5</f>
        <v>790</v>
      </c>
      <c r="G101" s="21">
        <f>F101-(222000)/1000*$F$5</f>
        <v>568</v>
      </c>
      <c r="H101" s="142" t="s">
        <v>183</v>
      </c>
      <c r="I101" s="34"/>
    </row>
    <row r="102" spans="1:9" ht="29.25" customHeight="1" x14ac:dyDescent="0.2">
      <c r="A102" s="16" t="s">
        <v>321</v>
      </c>
      <c r="B102" s="92" t="s">
        <v>283</v>
      </c>
      <c r="C102" s="49"/>
      <c r="D102" s="19" t="s">
        <v>16</v>
      </c>
      <c r="E102" s="19" t="s">
        <v>11</v>
      </c>
      <c r="F102" s="21">
        <f>(333000)/1000*$F$5</f>
        <v>333</v>
      </c>
      <c r="G102" s="21">
        <f>F102-(0)/1000*$F$5</f>
        <v>333</v>
      </c>
      <c r="H102" s="142" t="s">
        <v>182</v>
      </c>
      <c r="I102" s="34"/>
    </row>
    <row r="103" spans="1:9" ht="31.5" customHeight="1" x14ac:dyDescent="0.2">
      <c r="A103" s="17" t="s">
        <v>322</v>
      </c>
      <c r="B103" s="93" t="s">
        <v>284</v>
      </c>
      <c r="C103" s="130"/>
      <c r="D103" s="12" t="s">
        <v>107</v>
      </c>
      <c r="E103" s="12" t="s">
        <v>11</v>
      </c>
      <c r="F103" s="147">
        <f>(1356000)/1000*$F$5</f>
        <v>1356</v>
      </c>
      <c r="G103" s="147">
        <f>F103-(0)/1000*$F$5</f>
        <v>1356</v>
      </c>
      <c r="H103" s="148" t="s">
        <v>182</v>
      </c>
      <c r="I103" s="32"/>
    </row>
    <row r="104" spans="1:9" ht="30.75" customHeight="1" x14ac:dyDescent="0.2">
      <c r="A104" s="52" t="s">
        <v>212</v>
      </c>
      <c r="B104" s="41" t="s">
        <v>285</v>
      </c>
      <c r="C104" s="585" t="s">
        <v>208</v>
      </c>
      <c r="D104" s="18"/>
      <c r="E104" s="18"/>
      <c r="F104" s="146">
        <f>(0)/1000*$F$5</f>
        <v>0</v>
      </c>
      <c r="G104" s="146">
        <f>F104-(0)/1000*$F$5</f>
        <v>0</v>
      </c>
      <c r="H104" s="141"/>
      <c r="I104" s="35"/>
    </row>
    <row r="105" spans="1:9" ht="36" x14ac:dyDescent="0.2">
      <c r="A105" s="16" t="s">
        <v>323</v>
      </c>
      <c r="B105" s="92" t="s">
        <v>286</v>
      </c>
      <c r="C105" s="586"/>
      <c r="D105" s="19" t="s">
        <v>209</v>
      </c>
      <c r="E105" s="19" t="s">
        <v>9</v>
      </c>
      <c r="F105" s="21">
        <f>(2597207)/1000*$F$5</f>
        <v>2597.2069999999999</v>
      </c>
      <c r="G105" s="21">
        <f>F105-(0)/1000*$F$5</f>
        <v>2597.2069999999999</v>
      </c>
      <c r="H105" s="142" t="s">
        <v>210</v>
      </c>
      <c r="I105" s="34"/>
    </row>
    <row r="106" spans="1:9" ht="36" x14ac:dyDescent="0.2">
      <c r="A106" s="16" t="s">
        <v>324</v>
      </c>
      <c r="B106" s="92" t="s">
        <v>287</v>
      </c>
      <c r="C106" s="586"/>
      <c r="D106" s="19" t="s">
        <v>211</v>
      </c>
      <c r="E106" s="19" t="s">
        <v>11</v>
      </c>
      <c r="F106" s="21">
        <f>(4745324)/1000*$F$5</f>
        <v>4745.3239999999996</v>
      </c>
      <c r="G106" s="21">
        <f>F106-(0)/1000*$F$5</f>
        <v>4745.3239999999996</v>
      </c>
      <c r="H106" s="142" t="s">
        <v>182</v>
      </c>
      <c r="I106" s="34"/>
    </row>
    <row r="107" spans="1:9" ht="24" x14ac:dyDescent="0.2">
      <c r="A107" s="16" t="s">
        <v>325</v>
      </c>
      <c r="B107" s="92" t="s">
        <v>288</v>
      </c>
      <c r="C107" s="586"/>
      <c r="D107" s="19" t="s">
        <v>211</v>
      </c>
      <c r="E107" s="19" t="s">
        <v>11</v>
      </c>
      <c r="F107" s="21">
        <f>(2553018)/1000*$F$5</f>
        <v>2553.018</v>
      </c>
      <c r="G107" s="21">
        <f t="shared" ref="G107:G114" si="4">F107-(0)/1000*$F$5</f>
        <v>2553.018</v>
      </c>
      <c r="H107" s="142" t="s">
        <v>182</v>
      </c>
      <c r="I107" s="34"/>
    </row>
    <row r="108" spans="1:9" ht="48" x14ac:dyDescent="0.2">
      <c r="A108" s="16" t="s">
        <v>326</v>
      </c>
      <c r="B108" s="92" t="s">
        <v>339</v>
      </c>
      <c r="C108" s="586"/>
      <c r="D108" s="19" t="s">
        <v>211</v>
      </c>
      <c r="E108" s="19" t="s">
        <v>11</v>
      </c>
      <c r="F108" s="21">
        <f>(500000)/1000*$F$5</f>
        <v>500</v>
      </c>
      <c r="G108" s="21">
        <f t="shared" si="4"/>
        <v>500</v>
      </c>
      <c r="H108" s="142" t="s">
        <v>182</v>
      </c>
      <c r="I108" s="34"/>
    </row>
    <row r="109" spans="1:9" ht="46.5" customHeight="1" x14ac:dyDescent="0.2">
      <c r="A109" s="16" t="s">
        <v>327</v>
      </c>
      <c r="B109" s="92" t="s">
        <v>289</v>
      </c>
      <c r="C109" s="49"/>
      <c r="D109" s="19" t="s">
        <v>16</v>
      </c>
      <c r="E109" s="19" t="s">
        <v>107</v>
      </c>
      <c r="F109" s="21">
        <f>(299973)/1000*$F$5</f>
        <v>299.97300000000001</v>
      </c>
      <c r="G109" s="21">
        <f t="shared" si="4"/>
        <v>299.97300000000001</v>
      </c>
      <c r="H109" s="142" t="s">
        <v>182</v>
      </c>
      <c r="I109" s="34"/>
    </row>
    <row r="110" spans="1:9" ht="39.75" customHeight="1" x14ac:dyDescent="0.2">
      <c r="A110" s="52" t="s">
        <v>328</v>
      </c>
      <c r="B110" s="41" t="s">
        <v>291</v>
      </c>
      <c r="C110" s="585" t="s">
        <v>218</v>
      </c>
      <c r="D110" s="18"/>
      <c r="E110" s="18"/>
      <c r="F110" s="146">
        <f>(0)/1000*$F$5</f>
        <v>0</v>
      </c>
      <c r="G110" s="146">
        <f t="shared" si="4"/>
        <v>0</v>
      </c>
      <c r="H110" s="141"/>
      <c r="I110" s="35"/>
    </row>
    <row r="111" spans="1:9" ht="60.75" customHeight="1" x14ac:dyDescent="0.2">
      <c r="A111" s="16" t="s">
        <v>329</v>
      </c>
      <c r="B111" s="92" t="s">
        <v>290</v>
      </c>
      <c r="C111" s="587"/>
      <c r="D111" s="12" t="s">
        <v>104</v>
      </c>
      <c r="E111" s="63" t="s">
        <v>62</v>
      </c>
      <c r="F111" s="147">
        <f>(485000)/1000*$F$5</f>
        <v>485</v>
      </c>
      <c r="G111" s="147">
        <f t="shared" si="4"/>
        <v>485</v>
      </c>
      <c r="H111" s="142" t="s">
        <v>669</v>
      </c>
      <c r="I111" s="34"/>
    </row>
    <row r="112" spans="1:9" ht="48" customHeight="1" x14ac:dyDescent="0.2">
      <c r="A112" s="45" t="s">
        <v>330</v>
      </c>
      <c r="B112" s="41" t="s">
        <v>342</v>
      </c>
      <c r="C112" s="585" t="s">
        <v>340</v>
      </c>
      <c r="D112" s="19"/>
      <c r="E112" s="19"/>
      <c r="F112" s="21">
        <f>(0)/1000*$F$5</f>
        <v>0</v>
      </c>
      <c r="G112" s="21">
        <f t="shared" si="4"/>
        <v>0</v>
      </c>
      <c r="H112" s="141"/>
      <c r="I112" s="35"/>
    </row>
    <row r="113" spans="1:10" ht="52.5" customHeight="1" x14ac:dyDescent="0.2">
      <c r="A113" s="16" t="s">
        <v>331</v>
      </c>
      <c r="B113" s="92" t="s">
        <v>292</v>
      </c>
      <c r="C113" s="586"/>
      <c r="D113" s="19" t="s">
        <v>181</v>
      </c>
      <c r="E113" s="19" t="s">
        <v>54</v>
      </c>
      <c r="F113" s="21">
        <f>(689928.84)/1000*$F$5</f>
        <v>689.92883999999992</v>
      </c>
      <c r="G113" s="21">
        <f t="shared" si="4"/>
        <v>689.92883999999992</v>
      </c>
      <c r="H113" s="142" t="s">
        <v>219</v>
      </c>
      <c r="I113" s="34"/>
    </row>
    <row r="114" spans="1:10" ht="36" x14ac:dyDescent="0.2">
      <c r="A114" s="16" t="s">
        <v>332</v>
      </c>
      <c r="B114" s="93" t="s">
        <v>293</v>
      </c>
      <c r="C114" s="586"/>
      <c r="D114" s="12" t="s">
        <v>181</v>
      </c>
      <c r="E114" s="12" t="s">
        <v>54</v>
      </c>
      <c r="F114" s="147">
        <f>(669986.7)/1000*$F$5</f>
        <v>669.98669999999993</v>
      </c>
      <c r="G114" s="147">
        <f t="shared" si="4"/>
        <v>669.98669999999993</v>
      </c>
      <c r="H114" s="148" t="s">
        <v>670</v>
      </c>
      <c r="I114" s="32"/>
    </row>
    <row r="115" spans="1:10" ht="42" customHeight="1" x14ac:dyDescent="0.2">
      <c r="A115" s="45" t="s">
        <v>356</v>
      </c>
      <c r="B115" s="107" t="s">
        <v>355</v>
      </c>
      <c r="C115" s="588" t="s">
        <v>361</v>
      </c>
      <c r="D115" s="105"/>
      <c r="E115" s="92"/>
      <c r="F115" s="92"/>
      <c r="G115" s="92"/>
      <c r="H115" s="141"/>
      <c r="I115" s="35"/>
    </row>
    <row r="116" spans="1:10" ht="42" customHeight="1" x14ac:dyDescent="0.2">
      <c r="A116" s="56" t="s">
        <v>357</v>
      </c>
      <c r="B116" s="104" t="s">
        <v>358</v>
      </c>
      <c r="C116" s="589"/>
      <c r="D116" s="106" t="s">
        <v>132</v>
      </c>
      <c r="E116" s="19" t="s">
        <v>60</v>
      </c>
      <c r="F116" s="21">
        <f>(13558188)/1000*$F$5</f>
        <v>13558.188</v>
      </c>
      <c r="G116" s="21">
        <f>F116-(469389+1258717+530611+1765439)/1000*$F$5</f>
        <v>9534.0319999999992</v>
      </c>
      <c r="H116" s="142" t="s">
        <v>368</v>
      </c>
      <c r="I116" s="34"/>
      <c r="J116" s="62" t="s">
        <v>369</v>
      </c>
    </row>
    <row r="117" spans="1:10" ht="33" customHeight="1" x14ac:dyDescent="0.2">
      <c r="A117" s="56" t="s">
        <v>360</v>
      </c>
      <c r="B117" s="104" t="s">
        <v>359</v>
      </c>
      <c r="C117" s="589"/>
      <c r="D117" s="106" t="s">
        <v>91</v>
      </c>
      <c r="E117" s="19" t="s">
        <v>95</v>
      </c>
      <c r="F117" s="21">
        <f>(2385000)/1000*$F$5</f>
        <v>2385</v>
      </c>
      <c r="G117" s="21">
        <f>F117-(0)/1000*$F$5</f>
        <v>2385</v>
      </c>
      <c r="H117" s="19" t="s">
        <v>371</v>
      </c>
      <c r="I117" s="19"/>
      <c r="J117" s="1" t="s">
        <v>370</v>
      </c>
    </row>
    <row r="118" spans="1:10" ht="227.25" customHeight="1" x14ac:dyDescent="0.2">
      <c r="A118" s="75" t="s">
        <v>366</v>
      </c>
      <c r="B118" s="93" t="s">
        <v>365</v>
      </c>
      <c r="C118" s="93" t="s">
        <v>686</v>
      </c>
      <c r="D118" s="12" t="s">
        <v>4</v>
      </c>
      <c r="E118" s="12" t="s">
        <v>5</v>
      </c>
      <c r="F118" s="147">
        <f>(10567316+8421143+7072314+700000+6014061)/1000*$F$5</f>
        <v>32774.834000000003</v>
      </c>
      <c r="G118" s="147">
        <f>F118-(0)/1000*$F$5</f>
        <v>32774.834000000003</v>
      </c>
      <c r="H118" s="148" t="s">
        <v>536</v>
      </c>
      <c r="I118" s="32"/>
      <c r="J118" s="62" t="s">
        <v>367</v>
      </c>
    </row>
    <row r="119" spans="1:10" ht="96" customHeight="1" x14ac:dyDescent="0.2">
      <c r="A119" s="61" t="s">
        <v>343</v>
      </c>
      <c r="B119" s="92" t="s">
        <v>672</v>
      </c>
      <c r="C119" s="585" t="s">
        <v>671</v>
      </c>
      <c r="D119" s="12" t="s">
        <v>126</v>
      </c>
      <c r="E119" s="12" t="s">
        <v>295</v>
      </c>
      <c r="F119" s="147">
        <f>(83139502.68)/1000*$F$5</f>
        <v>83139.502680000005</v>
      </c>
      <c r="G119" s="147">
        <f>F119-(6200000+10529012+8438715+108814)/1000*$F$5</f>
        <v>57862.961680000008</v>
      </c>
      <c r="H119" s="148" t="s">
        <v>341</v>
      </c>
      <c r="I119" s="32"/>
    </row>
    <row r="120" spans="1:10" ht="119.25" customHeight="1" x14ac:dyDescent="0.2">
      <c r="A120" s="17" t="s">
        <v>343</v>
      </c>
      <c r="B120" s="129" t="s">
        <v>344</v>
      </c>
      <c r="C120" s="586"/>
      <c r="D120" s="11" t="s">
        <v>176</v>
      </c>
      <c r="E120" s="11" t="s">
        <v>11</v>
      </c>
      <c r="F120" s="147">
        <f>(18470000+6000000+43638688+35800000)/1000*$F$5</f>
        <v>103908.68799999999</v>
      </c>
      <c r="G120" s="147">
        <f>F120-(6226282+584574+1856603+1161147+12527+807520+625000+1980019)/1000*$F$5</f>
        <v>90655.015999999989</v>
      </c>
      <c r="H120" s="2" t="s">
        <v>348</v>
      </c>
      <c r="I120" s="3"/>
      <c r="J120" s="62" t="s">
        <v>345</v>
      </c>
    </row>
    <row r="121" spans="1:10" ht="180" x14ac:dyDescent="0.2">
      <c r="A121" s="17">
        <v>11</v>
      </c>
      <c r="B121" s="2" t="s">
        <v>347</v>
      </c>
      <c r="C121" s="586"/>
      <c r="D121" s="11" t="s">
        <v>176</v>
      </c>
      <c r="E121" s="11" t="s">
        <v>9</v>
      </c>
      <c r="F121" s="147">
        <f>(17300000+16253101+2100000+19600000)/1000*$F$5</f>
        <v>55253.101000000002</v>
      </c>
      <c r="G121" s="147">
        <f>F121-(2581571+57053+300000)/1000*$F$5</f>
        <v>52314.476999999999</v>
      </c>
      <c r="H121" s="4" t="s">
        <v>349</v>
      </c>
      <c r="I121" s="3"/>
      <c r="J121" s="62" t="s">
        <v>350</v>
      </c>
    </row>
    <row r="122" spans="1:10" ht="60" x14ac:dyDescent="0.2">
      <c r="A122" s="17" t="s">
        <v>362</v>
      </c>
      <c r="B122" s="94" t="s">
        <v>351</v>
      </c>
      <c r="C122" s="586"/>
      <c r="D122" s="11" t="s">
        <v>51</v>
      </c>
      <c r="E122" s="11" t="s">
        <v>52</v>
      </c>
      <c r="F122" s="147">
        <f>(6478556)/1000*$F$5</f>
        <v>6478.5559999999996</v>
      </c>
      <c r="G122" s="147">
        <f>F122-(5170957)/1000*$F$5</f>
        <v>1307.5989999999993</v>
      </c>
      <c r="H122" s="2" t="s">
        <v>352</v>
      </c>
      <c r="I122" s="3"/>
      <c r="J122" s="1" t="s">
        <v>353</v>
      </c>
    </row>
    <row r="123" spans="1:10" ht="60" x14ac:dyDescent="0.2">
      <c r="A123" s="17" t="s">
        <v>363</v>
      </c>
      <c r="B123" s="94" t="s">
        <v>800</v>
      </c>
      <c r="C123" s="586"/>
      <c r="D123" s="11" t="s">
        <v>49</v>
      </c>
      <c r="E123" s="11" t="s">
        <v>9</v>
      </c>
      <c r="F123" s="147">
        <f>(24038994+777000)/1000*$F$5</f>
        <v>24815.993999999999</v>
      </c>
      <c r="G123" s="147">
        <f>F123-(2293986+1543444+4453835)/1000*$F$5</f>
        <v>16524.728999999999</v>
      </c>
      <c r="H123" s="66" t="s">
        <v>372</v>
      </c>
      <c r="I123" s="3"/>
      <c r="J123" s="62" t="s">
        <v>354</v>
      </c>
    </row>
    <row r="124" spans="1:10" ht="48" x14ac:dyDescent="0.2">
      <c r="A124" s="17" t="s">
        <v>392</v>
      </c>
      <c r="B124" s="94" t="s">
        <v>801</v>
      </c>
      <c r="C124" s="586"/>
      <c r="D124" s="11" t="s">
        <v>124</v>
      </c>
      <c r="E124" s="11" t="s">
        <v>35</v>
      </c>
      <c r="F124" s="147">
        <f>(5116926)/1000*$F$5</f>
        <v>5116.9260000000004</v>
      </c>
      <c r="G124" s="147">
        <f>F124-(199477+243074)/1000*$F$5</f>
        <v>4674.375</v>
      </c>
      <c r="H124" s="66" t="s">
        <v>373</v>
      </c>
      <c r="I124" s="3"/>
      <c r="J124" s="62" t="s">
        <v>374</v>
      </c>
    </row>
    <row r="125" spans="1:10" ht="60" x14ac:dyDescent="0.2">
      <c r="A125" s="17" t="s">
        <v>393</v>
      </c>
      <c r="B125" s="94" t="s">
        <v>802</v>
      </c>
      <c r="C125" s="586"/>
      <c r="D125" s="11" t="s">
        <v>132</v>
      </c>
      <c r="E125" s="11" t="s">
        <v>377</v>
      </c>
      <c r="F125" s="147">
        <f>(1730000+1570000)/1000*$F$5</f>
        <v>3300</v>
      </c>
      <c r="G125" s="147">
        <f>F125-(1422391)/1000*$F$5</f>
        <v>1877.6089999999999</v>
      </c>
      <c r="H125" s="66" t="s">
        <v>375</v>
      </c>
      <c r="I125" s="3"/>
      <c r="J125" s="62" t="s">
        <v>376</v>
      </c>
    </row>
    <row r="126" spans="1:10" ht="48" x14ac:dyDescent="0.2">
      <c r="A126" s="17" t="s">
        <v>394</v>
      </c>
      <c r="B126" s="94" t="s">
        <v>379</v>
      </c>
      <c r="C126" s="586"/>
      <c r="D126" s="11" t="s">
        <v>14</v>
      </c>
      <c r="E126" s="11" t="s">
        <v>7</v>
      </c>
      <c r="F126" s="147">
        <f>(990000)/1000*$F$5</f>
        <v>990</v>
      </c>
      <c r="G126" s="147">
        <f>F126-(0)/1000*$F$5</f>
        <v>990</v>
      </c>
      <c r="H126" s="66" t="s">
        <v>378</v>
      </c>
      <c r="I126" s="3"/>
      <c r="J126" s="62" t="s">
        <v>380</v>
      </c>
    </row>
    <row r="127" spans="1:10" ht="84" x14ac:dyDescent="0.2">
      <c r="A127" s="17" t="s">
        <v>395</v>
      </c>
      <c r="B127" s="94" t="s">
        <v>381</v>
      </c>
      <c r="C127" s="586"/>
      <c r="D127" s="11" t="s">
        <v>24</v>
      </c>
      <c r="E127" s="11" t="s">
        <v>11</v>
      </c>
      <c r="F127" s="147">
        <f>(1430000)/1000*$F$5</f>
        <v>1430</v>
      </c>
      <c r="G127" s="147">
        <f>F127-(0)/1000*$F$5</f>
        <v>1430</v>
      </c>
      <c r="H127" s="66" t="s">
        <v>382</v>
      </c>
      <c r="I127" s="3"/>
      <c r="J127" s="68" t="s">
        <v>383</v>
      </c>
    </row>
    <row r="128" spans="1:10" ht="72" x14ac:dyDescent="0.2">
      <c r="A128" s="17" t="s">
        <v>396</v>
      </c>
      <c r="B128" s="94" t="s">
        <v>674</v>
      </c>
      <c r="C128" s="586"/>
      <c r="D128" s="11" t="s">
        <v>86</v>
      </c>
      <c r="E128" s="11" t="s">
        <v>16</v>
      </c>
      <c r="F128" s="147">
        <f>(1269000+1511338)/1000*$F$5</f>
        <v>2780.3380000000002</v>
      </c>
      <c r="G128" s="147">
        <f>F128-(0)/1000*$F$5</f>
        <v>2780.3380000000002</v>
      </c>
      <c r="H128" s="66" t="s">
        <v>384</v>
      </c>
      <c r="I128" s="3"/>
      <c r="J128" s="69" t="s">
        <v>385</v>
      </c>
    </row>
    <row r="129" spans="1:10" ht="36" x14ac:dyDescent="0.2">
      <c r="A129" s="16" t="s">
        <v>397</v>
      </c>
      <c r="B129" s="94" t="s">
        <v>673</v>
      </c>
      <c r="C129" s="587"/>
      <c r="D129" s="18" t="s">
        <v>16</v>
      </c>
      <c r="E129" s="18" t="s">
        <v>15</v>
      </c>
      <c r="F129" s="21">
        <f>(5970000)/1000*$F$5</f>
        <v>5970</v>
      </c>
      <c r="G129" s="21">
        <f>F129-(404688+1840498)/1000*$F$5</f>
        <v>3724.8139999999999</v>
      </c>
      <c r="H129" s="108" t="s">
        <v>386</v>
      </c>
      <c r="I129" s="35"/>
      <c r="J129" s="68" t="s">
        <v>387</v>
      </c>
    </row>
    <row r="130" spans="1:10" ht="39" customHeight="1" x14ac:dyDescent="0.2">
      <c r="A130" s="45" t="s">
        <v>398</v>
      </c>
      <c r="B130" s="94" t="s">
        <v>390</v>
      </c>
      <c r="C130" s="596" t="s">
        <v>402</v>
      </c>
      <c r="D130" s="18"/>
      <c r="E130" s="18"/>
      <c r="F130" s="146"/>
      <c r="G130" s="146"/>
      <c r="H130" s="108"/>
      <c r="I130" s="14"/>
      <c r="J130" s="62"/>
    </row>
    <row r="131" spans="1:10" ht="123" customHeight="1" x14ac:dyDescent="0.2">
      <c r="A131" s="16" t="s">
        <v>399</v>
      </c>
      <c r="B131" s="92" t="s">
        <v>391</v>
      </c>
      <c r="C131" s="597"/>
      <c r="D131" s="19" t="s">
        <v>389</v>
      </c>
      <c r="E131" s="19"/>
      <c r="F131" s="21">
        <f>(46178318)/1000*$F$5</f>
        <v>46178.317999999999</v>
      </c>
      <c r="G131" s="21">
        <f>F131-(1471085+2237239+429854+2062761)/1000*$F$5</f>
        <v>39977.379000000001</v>
      </c>
      <c r="H131" s="58" t="s">
        <v>537</v>
      </c>
      <c r="I131" s="15"/>
      <c r="J131" s="62" t="s">
        <v>388</v>
      </c>
    </row>
    <row r="132" spans="1:10" ht="36" customHeight="1" x14ac:dyDescent="0.2">
      <c r="A132" s="17" t="s">
        <v>400</v>
      </c>
      <c r="B132" s="93" t="s">
        <v>404</v>
      </c>
      <c r="C132" s="597"/>
      <c r="D132" s="12" t="s">
        <v>177</v>
      </c>
      <c r="E132" s="12" t="s">
        <v>177</v>
      </c>
      <c r="F132" s="147">
        <f>(1750000)/1000*$F$5</f>
        <v>1750</v>
      </c>
      <c r="G132" s="147">
        <f>F132-(0)/1000*$F$5</f>
        <v>1750</v>
      </c>
      <c r="H132" s="109" t="s">
        <v>386</v>
      </c>
      <c r="I132" s="110"/>
      <c r="J132" s="62" t="s">
        <v>401</v>
      </c>
    </row>
    <row r="133" spans="1:10" ht="36" x14ac:dyDescent="0.2">
      <c r="A133" s="17" t="s">
        <v>403</v>
      </c>
      <c r="B133" s="92" t="s">
        <v>407</v>
      </c>
      <c r="C133" s="597"/>
      <c r="D133" s="12" t="s">
        <v>126</v>
      </c>
      <c r="E133" s="12" t="s">
        <v>8</v>
      </c>
      <c r="F133" s="147">
        <f>(900000)/1000*$F$5</f>
        <v>900</v>
      </c>
      <c r="G133" s="147">
        <f>F133-(0)/1000*$F$5</f>
        <v>900</v>
      </c>
      <c r="H133" s="109" t="s">
        <v>405</v>
      </c>
      <c r="I133" s="32"/>
      <c r="J133" s="62" t="s">
        <v>411</v>
      </c>
    </row>
    <row r="134" spans="1:10" ht="36" x14ac:dyDescent="0.2">
      <c r="A134" s="17" t="s">
        <v>408</v>
      </c>
      <c r="B134" s="94" t="s">
        <v>406</v>
      </c>
      <c r="C134" s="597"/>
      <c r="D134" s="11" t="s">
        <v>410</v>
      </c>
      <c r="E134" s="11" t="s">
        <v>410</v>
      </c>
      <c r="F134" s="147">
        <f>(840000)/1000*$F$5</f>
        <v>840</v>
      </c>
      <c r="G134" s="147">
        <f t="shared" ref="G134:G139" si="5">F134-(0)/1000*$F$5</f>
        <v>840</v>
      </c>
      <c r="H134" s="2" t="s">
        <v>409</v>
      </c>
      <c r="I134" s="3"/>
      <c r="J134" s="1" t="s">
        <v>412</v>
      </c>
    </row>
    <row r="135" spans="1:10" ht="36" x14ac:dyDescent="0.2">
      <c r="A135" s="17" t="s">
        <v>416</v>
      </c>
      <c r="B135" s="94" t="s">
        <v>413</v>
      </c>
      <c r="C135" s="597"/>
      <c r="D135" s="11" t="s">
        <v>12</v>
      </c>
      <c r="E135" s="11" t="s">
        <v>52</v>
      </c>
      <c r="F135" s="147">
        <f>(1150000)/1000*$F$5</f>
        <v>1150</v>
      </c>
      <c r="G135" s="147">
        <f t="shared" si="5"/>
        <v>1150</v>
      </c>
      <c r="H135" s="2" t="s">
        <v>414</v>
      </c>
      <c r="I135" s="3"/>
      <c r="J135" s="1" t="s">
        <v>425</v>
      </c>
    </row>
    <row r="136" spans="1:10" ht="36" x14ac:dyDescent="0.2">
      <c r="A136" s="45" t="s">
        <v>417</v>
      </c>
      <c r="B136" s="94" t="s">
        <v>415</v>
      </c>
      <c r="C136" s="597"/>
      <c r="D136" s="18"/>
      <c r="E136" s="18"/>
      <c r="F136" s="146"/>
      <c r="G136" s="146"/>
      <c r="H136" s="108"/>
      <c r="I136" s="14"/>
    </row>
    <row r="137" spans="1:10" ht="24" x14ac:dyDescent="0.2">
      <c r="A137" s="16" t="s">
        <v>418</v>
      </c>
      <c r="B137" s="92" t="s">
        <v>419</v>
      </c>
      <c r="C137" s="597"/>
      <c r="D137" s="19" t="s">
        <v>12</v>
      </c>
      <c r="E137" s="19" t="s">
        <v>52</v>
      </c>
      <c r="F137" s="21">
        <f>(1291000)/1000*$F$5</f>
        <v>1291</v>
      </c>
      <c r="G137" s="21">
        <f t="shared" si="5"/>
        <v>1291</v>
      </c>
      <c r="H137" s="58" t="s">
        <v>422</v>
      </c>
      <c r="I137" s="15"/>
      <c r="J137" s="1" t="s">
        <v>424</v>
      </c>
    </row>
    <row r="138" spans="1:10" ht="24" x14ac:dyDescent="0.2">
      <c r="A138" s="17" t="s">
        <v>421</v>
      </c>
      <c r="B138" s="93" t="s">
        <v>420</v>
      </c>
      <c r="C138" s="597"/>
      <c r="D138" s="12" t="s">
        <v>49</v>
      </c>
      <c r="E138" s="12" t="s">
        <v>52</v>
      </c>
      <c r="F138" s="147">
        <f>(1227945)/1000*$F$5</f>
        <v>1227.9449999999999</v>
      </c>
      <c r="G138" s="147">
        <f t="shared" si="5"/>
        <v>1227.9449999999999</v>
      </c>
      <c r="H138" s="109" t="s">
        <v>422</v>
      </c>
      <c r="I138" s="110"/>
      <c r="J138" s="1" t="s">
        <v>423</v>
      </c>
    </row>
    <row r="139" spans="1:10" ht="36" x14ac:dyDescent="0.2">
      <c r="A139" s="17" t="s">
        <v>434</v>
      </c>
      <c r="B139" s="94" t="s">
        <v>426</v>
      </c>
      <c r="C139" s="598"/>
      <c r="D139" s="11" t="s">
        <v>427</v>
      </c>
      <c r="E139" s="11" t="s">
        <v>5</v>
      </c>
      <c r="F139" s="147">
        <f>(550000)/1000*$F$5</f>
        <v>550</v>
      </c>
      <c r="G139" s="147">
        <f t="shared" si="5"/>
        <v>550</v>
      </c>
      <c r="H139" s="2" t="s">
        <v>428</v>
      </c>
      <c r="I139" s="3"/>
      <c r="J139" s="1" t="s">
        <v>429</v>
      </c>
    </row>
    <row r="140" spans="1:10" ht="228" x14ac:dyDescent="0.2">
      <c r="A140" s="17">
        <v>26</v>
      </c>
      <c r="B140" s="2" t="s">
        <v>804</v>
      </c>
      <c r="C140" s="596" t="s">
        <v>28</v>
      </c>
      <c r="D140" s="11" t="s">
        <v>14</v>
      </c>
      <c r="E140" s="11" t="s">
        <v>11</v>
      </c>
      <c r="F140" s="147">
        <f>(390000000)/1000*$F$5</f>
        <v>390000</v>
      </c>
      <c r="G140" s="147">
        <f>F140-(10473000+2569000+38773249+1655506+4134020+386559+17036387+15325570+15342207+3454876+1477757+74199+980000)/1000*$F$5</f>
        <v>278317.67</v>
      </c>
      <c r="H140" s="2" t="s">
        <v>805</v>
      </c>
      <c r="I140" s="9"/>
    </row>
    <row r="141" spans="1:10" ht="96" x14ac:dyDescent="0.2">
      <c r="A141" s="17" t="s">
        <v>435</v>
      </c>
      <c r="B141" s="94" t="s">
        <v>803</v>
      </c>
      <c r="C141" s="598"/>
      <c r="D141" s="11" t="s">
        <v>84</v>
      </c>
      <c r="E141" s="11" t="s">
        <v>7</v>
      </c>
      <c r="F141" s="147">
        <f>(13244584)/1000*$F$5</f>
        <v>13244.584000000001</v>
      </c>
      <c r="G141" s="147">
        <f>F141-(3944931+1927740)/1000*$F$5</f>
        <v>7371.9130000000005</v>
      </c>
      <c r="H141" s="2" t="s">
        <v>430</v>
      </c>
      <c r="I141" s="3"/>
    </row>
    <row r="142" spans="1:10" ht="108" x14ac:dyDescent="0.2">
      <c r="A142" s="17" t="s">
        <v>436</v>
      </c>
      <c r="B142" s="94" t="s">
        <v>432</v>
      </c>
      <c r="C142" s="71" t="s">
        <v>433</v>
      </c>
      <c r="D142" s="11" t="s">
        <v>84</v>
      </c>
      <c r="E142" s="11" t="s">
        <v>84</v>
      </c>
      <c r="F142" s="147">
        <f>(500000)/1000*$F$5</f>
        <v>500</v>
      </c>
      <c r="G142" s="147">
        <f>F142-(0)/1000*$F$5</f>
        <v>500</v>
      </c>
      <c r="H142" s="2" t="s">
        <v>431</v>
      </c>
      <c r="I142" s="3"/>
    </row>
    <row r="143" spans="1:10" ht="172.5" customHeight="1" x14ac:dyDescent="0.2">
      <c r="A143" s="17" t="s">
        <v>437</v>
      </c>
      <c r="B143" s="94" t="s">
        <v>765</v>
      </c>
      <c r="C143" s="71" t="s">
        <v>845</v>
      </c>
      <c r="D143" s="11" t="s">
        <v>14</v>
      </c>
      <c r="E143" s="11" t="s">
        <v>586</v>
      </c>
      <c r="F143" s="147">
        <f>(119096424)/1000*$F$5</f>
        <v>119096.424</v>
      </c>
      <c r="G143" s="147">
        <f>F143-(4720342+9389674+2380253+20611493+1300885+1430964+661059)/1000*$F$5</f>
        <v>78601.754000000001</v>
      </c>
      <c r="H143" s="2" t="s">
        <v>585</v>
      </c>
      <c r="I143" s="3"/>
      <c r="J143" s="1" t="s">
        <v>587</v>
      </c>
    </row>
    <row r="144" spans="1:10" ht="172.5" customHeight="1" x14ac:dyDescent="0.2">
      <c r="A144" s="17" t="s">
        <v>447</v>
      </c>
      <c r="B144" s="94" t="s">
        <v>625</v>
      </c>
      <c r="C144" s="71" t="s">
        <v>846</v>
      </c>
      <c r="D144" s="11" t="s">
        <v>95</v>
      </c>
      <c r="E144" s="11" t="s">
        <v>11</v>
      </c>
      <c r="F144" s="147">
        <f>(19671702+1204838+5361278)/1000*$F$5</f>
        <v>26237.817999999999</v>
      </c>
      <c r="G144" s="147">
        <f>F144-(1399023+56345+1515335)/1000*$F$5</f>
        <v>23267.114999999998</v>
      </c>
      <c r="H144" s="2" t="s">
        <v>627</v>
      </c>
      <c r="I144" s="3"/>
      <c r="J144" s="1" t="s">
        <v>626</v>
      </c>
    </row>
    <row r="145" spans="1:10" ht="39.75" customHeight="1" x14ac:dyDescent="0.2">
      <c r="A145" s="45" t="s">
        <v>450</v>
      </c>
      <c r="B145" s="94" t="s">
        <v>677</v>
      </c>
      <c r="C145" s="585" t="s">
        <v>675</v>
      </c>
      <c r="D145" s="18"/>
      <c r="E145" s="18"/>
      <c r="F145" s="146">
        <f>(0)/1000*$F$5</f>
        <v>0</v>
      </c>
      <c r="G145" s="146">
        <f>F145-(0)/1000*$F$5</f>
        <v>0</v>
      </c>
      <c r="H145" s="108"/>
      <c r="I145" s="14"/>
    </row>
    <row r="146" spans="1:10" ht="24" x14ac:dyDescent="0.2">
      <c r="A146" s="16" t="s">
        <v>454</v>
      </c>
      <c r="B146" s="92" t="s">
        <v>438</v>
      </c>
      <c r="C146" s="586"/>
      <c r="D146" s="19" t="s">
        <v>439</v>
      </c>
      <c r="E146" s="19" t="s">
        <v>126</v>
      </c>
      <c r="F146" s="21">
        <f>(7168312)/1000*$F$5</f>
        <v>7168.3119999999999</v>
      </c>
      <c r="G146" s="21">
        <f>F146-(803199)/1000*$F$5</f>
        <v>6365.1130000000003</v>
      </c>
      <c r="H146" s="58" t="s">
        <v>438</v>
      </c>
      <c r="I146" s="15"/>
      <c r="J146" s="1" t="s">
        <v>441</v>
      </c>
    </row>
    <row r="147" spans="1:10" ht="72" x14ac:dyDescent="0.2">
      <c r="A147" s="16" t="s">
        <v>455</v>
      </c>
      <c r="B147" s="92" t="s">
        <v>443</v>
      </c>
      <c r="C147" s="586"/>
      <c r="D147" s="19" t="s">
        <v>119</v>
      </c>
      <c r="E147" s="19" t="s">
        <v>295</v>
      </c>
      <c r="F147" s="21">
        <f>(14067218)/1000*$F$5</f>
        <v>14067.218000000001</v>
      </c>
      <c r="G147" s="21">
        <f>F147-(0)/1000*$F$5</f>
        <v>14067.218000000001</v>
      </c>
      <c r="H147" s="58" t="s">
        <v>446</v>
      </c>
      <c r="I147" s="15"/>
      <c r="J147" s="1" t="s">
        <v>442</v>
      </c>
    </row>
    <row r="148" spans="1:10" ht="72" x14ac:dyDescent="0.2">
      <c r="A148" s="17" t="s">
        <v>463</v>
      </c>
      <c r="B148" s="93" t="s">
        <v>444</v>
      </c>
      <c r="C148" s="586"/>
      <c r="D148" s="19" t="s">
        <v>8</v>
      </c>
      <c r="E148" s="19" t="s">
        <v>56</v>
      </c>
      <c r="F148" s="21">
        <f>(24083149)/1000*$F$5</f>
        <v>24083.149000000001</v>
      </c>
      <c r="G148" s="21">
        <f>F148-(0)/1000*$F$5</f>
        <v>24083.149000000001</v>
      </c>
      <c r="H148" s="58" t="s">
        <v>445</v>
      </c>
      <c r="I148" s="15"/>
      <c r="J148" s="1" t="s">
        <v>440</v>
      </c>
    </row>
    <row r="149" spans="1:10" ht="60" x14ac:dyDescent="0.2">
      <c r="A149" s="112" t="s">
        <v>543</v>
      </c>
      <c r="B149" s="4" t="s">
        <v>676</v>
      </c>
      <c r="C149" s="587"/>
      <c r="D149" s="11" t="s">
        <v>177</v>
      </c>
      <c r="E149" s="11" t="s">
        <v>48</v>
      </c>
      <c r="F149" s="111">
        <f>(24894319)/1000*$F$5</f>
        <v>24894.319</v>
      </c>
      <c r="G149" s="111">
        <f>F149-(1597047)/1000*$F$5</f>
        <v>23297.272000000001</v>
      </c>
      <c r="H149" s="2" t="s">
        <v>449</v>
      </c>
      <c r="I149" s="3"/>
      <c r="J149" s="1" t="s">
        <v>448</v>
      </c>
    </row>
    <row r="150" spans="1:10" s="60" customFormat="1" ht="112.5" customHeight="1" x14ac:dyDescent="0.2">
      <c r="A150" s="75" t="s">
        <v>552</v>
      </c>
      <c r="B150" s="70" t="s">
        <v>676</v>
      </c>
      <c r="C150" s="140" t="s">
        <v>402</v>
      </c>
      <c r="D150" s="77" t="s">
        <v>124</v>
      </c>
      <c r="E150" s="77" t="s">
        <v>54</v>
      </c>
      <c r="F150" s="147">
        <f>(1490000)/1000*$F$5</f>
        <v>1490</v>
      </c>
      <c r="G150" s="147">
        <f>F150-(0)/1000*$F$5</f>
        <v>1490</v>
      </c>
      <c r="H150" s="66" t="s">
        <v>556</v>
      </c>
      <c r="I150" s="78"/>
    </row>
    <row r="151" spans="1:10" s="60" customFormat="1" ht="120" customHeight="1" x14ac:dyDescent="0.2">
      <c r="A151" s="75" t="s">
        <v>678</v>
      </c>
      <c r="B151" s="70" t="s">
        <v>547</v>
      </c>
      <c r="C151" s="582" t="s">
        <v>766</v>
      </c>
      <c r="D151" s="592" t="s">
        <v>6</v>
      </c>
      <c r="E151" s="592" t="s">
        <v>7</v>
      </c>
      <c r="F151" s="594">
        <f>(444005270)/1000*$F$5</f>
        <v>444005.27</v>
      </c>
      <c r="G151" s="594">
        <f>F151-(1802298+116204+5445957+4438015+332211+8285705+1361841+6213406+130743)/1000*$F$5</f>
        <v>415878.89</v>
      </c>
      <c r="H151" s="66" t="s">
        <v>26</v>
      </c>
      <c r="I151" s="78"/>
      <c r="J151" s="60" t="s">
        <v>551</v>
      </c>
    </row>
    <row r="152" spans="1:10" s="60" customFormat="1" ht="114.75" customHeight="1" x14ac:dyDescent="0.2">
      <c r="A152" s="75" t="s">
        <v>679</v>
      </c>
      <c r="B152" s="70" t="s">
        <v>548</v>
      </c>
      <c r="C152" s="584"/>
      <c r="D152" s="593"/>
      <c r="E152" s="593"/>
      <c r="F152" s="595"/>
      <c r="G152" s="595"/>
      <c r="H152" s="66" t="s">
        <v>767</v>
      </c>
      <c r="I152" s="78"/>
    </row>
    <row r="153" spans="1:10" s="60" customFormat="1" ht="108" x14ac:dyDescent="0.2">
      <c r="A153" s="75" t="s">
        <v>680</v>
      </c>
      <c r="B153" s="70" t="s">
        <v>768</v>
      </c>
      <c r="C153" s="140" t="s">
        <v>769</v>
      </c>
      <c r="D153" s="145" t="s">
        <v>4</v>
      </c>
      <c r="E153" s="145" t="s">
        <v>24</v>
      </c>
      <c r="F153" s="147">
        <f>(37438795+4559067)/1000*$F$5</f>
        <v>41997.862000000001</v>
      </c>
      <c r="G153" s="147">
        <f>F153-(0)/1000*$F$5</f>
        <v>41997.862000000001</v>
      </c>
      <c r="H153" s="66" t="s">
        <v>681</v>
      </c>
      <c r="I153" s="78"/>
      <c r="J153" s="60" t="s">
        <v>581</v>
      </c>
    </row>
    <row r="154" spans="1:10" s="60" customFormat="1" ht="102" customHeight="1" x14ac:dyDescent="0.2">
      <c r="A154" s="75" t="s">
        <v>682</v>
      </c>
      <c r="B154" s="70" t="s">
        <v>557</v>
      </c>
      <c r="C154" s="582" t="s">
        <v>770</v>
      </c>
      <c r="D154" s="77" t="s">
        <v>46</v>
      </c>
      <c r="E154" s="77" t="s">
        <v>52</v>
      </c>
      <c r="F154" s="147">
        <f>(12510963+537851)/1000*$F$5</f>
        <v>13048.814</v>
      </c>
      <c r="G154" s="147">
        <f>F154-(0)/1000*$F$5</f>
        <v>13048.814</v>
      </c>
      <c r="H154" s="66" t="s">
        <v>558</v>
      </c>
      <c r="I154" s="78"/>
      <c r="J154" s="60" t="s">
        <v>562</v>
      </c>
    </row>
    <row r="155" spans="1:10" s="60" customFormat="1" ht="60" x14ac:dyDescent="0.2">
      <c r="A155" s="75" t="s">
        <v>683</v>
      </c>
      <c r="B155" s="70" t="s">
        <v>579</v>
      </c>
      <c r="C155" s="584"/>
      <c r="D155" s="77" t="s">
        <v>488</v>
      </c>
      <c r="E155" s="77" t="s">
        <v>7</v>
      </c>
      <c r="F155" s="147">
        <f>(2281959)/1000*$F$5</f>
        <v>2281.9589999999998</v>
      </c>
      <c r="G155" s="147">
        <f>F155-(0)/1000*$F$5</f>
        <v>2281.9589999999998</v>
      </c>
      <c r="H155" s="66" t="s">
        <v>578</v>
      </c>
      <c r="I155" s="78"/>
      <c r="J155" s="60" t="s">
        <v>580</v>
      </c>
    </row>
    <row r="156" spans="1:10" s="60" customFormat="1" ht="48" x14ac:dyDescent="0.2">
      <c r="A156" s="75" t="s">
        <v>684</v>
      </c>
      <c r="B156" s="70" t="s">
        <v>771</v>
      </c>
      <c r="C156" s="140" t="s">
        <v>632</v>
      </c>
      <c r="D156" s="77" t="s">
        <v>101</v>
      </c>
      <c r="E156" s="77" t="s">
        <v>103</v>
      </c>
      <c r="F156" s="147">
        <f>(7649009)/1000*$F$5</f>
        <v>7649.009</v>
      </c>
      <c r="G156" s="147">
        <f>F156-(0)/1000*$F$5</f>
        <v>7649.009</v>
      </c>
      <c r="H156" s="66" t="s">
        <v>633</v>
      </c>
      <c r="I156" s="78"/>
      <c r="J156" s="60" t="s">
        <v>634</v>
      </c>
    </row>
    <row r="157" spans="1:10" s="60" customFormat="1" ht="120" x14ac:dyDescent="0.2">
      <c r="A157" s="112" t="s">
        <v>685</v>
      </c>
      <c r="B157" s="4" t="s">
        <v>559</v>
      </c>
      <c r="C157" s="140" t="s">
        <v>772</v>
      </c>
      <c r="D157" s="77" t="s">
        <v>427</v>
      </c>
      <c r="E157" s="77" t="s">
        <v>7</v>
      </c>
      <c r="F157" s="147">
        <f>(3700000)/1000*$F$5</f>
        <v>3700</v>
      </c>
      <c r="G157" s="147">
        <f>F157-(1300000)/1000*$F$5</f>
        <v>2400</v>
      </c>
      <c r="H157" s="66" t="s">
        <v>570</v>
      </c>
      <c r="I157" s="78"/>
      <c r="J157" s="60" t="s">
        <v>566</v>
      </c>
    </row>
    <row r="158" spans="1:10" s="60" customFormat="1" ht="140.25" customHeight="1" x14ac:dyDescent="0.2">
      <c r="A158" s="75" t="s">
        <v>688</v>
      </c>
      <c r="B158" s="70" t="s">
        <v>559</v>
      </c>
      <c r="C158" s="140" t="s">
        <v>773</v>
      </c>
      <c r="D158" s="77" t="s">
        <v>54</v>
      </c>
      <c r="E158" s="77" t="s">
        <v>52</v>
      </c>
      <c r="F158" s="147">
        <f>(1555540)/1000*$F$5</f>
        <v>1555.54</v>
      </c>
      <c r="G158" s="147">
        <f>F158-(0)/1000*$F$5</f>
        <v>1555.54</v>
      </c>
      <c r="H158" s="66" t="s">
        <v>560</v>
      </c>
      <c r="I158" s="78"/>
      <c r="J158" s="60" t="s">
        <v>561</v>
      </c>
    </row>
    <row r="159" spans="1:10" s="60" customFormat="1" ht="168" x14ac:dyDescent="0.2">
      <c r="A159" s="75" t="s">
        <v>689</v>
      </c>
      <c r="B159" s="70" t="s">
        <v>364</v>
      </c>
      <c r="C159" s="140" t="s">
        <v>687</v>
      </c>
      <c r="D159" s="77" t="s">
        <v>124</v>
      </c>
      <c r="E159" s="77" t="s">
        <v>7</v>
      </c>
      <c r="F159" s="147">
        <v>35340.406999999999</v>
      </c>
      <c r="G159" s="147">
        <v>35340.406999999999</v>
      </c>
      <c r="H159" s="66" t="s">
        <v>774</v>
      </c>
      <c r="I159" s="78"/>
      <c r="J159" s="60" t="s">
        <v>592</v>
      </c>
    </row>
    <row r="160" spans="1:10" s="60" customFormat="1" ht="228" x14ac:dyDescent="0.2">
      <c r="A160" s="75" t="s">
        <v>690</v>
      </c>
      <c r="B160" s="70" t="s">
        <v>642</v>
      </c>
      <c r="C160" s="140" t="s">
        <v>847</v>
      </c>
      <c r="D160" s="77" t="s">
        <v>107</v>
      </c>
      <c r="E160" s="77" t="s">
        <v>63</v>
      </c>
      <c r="F160" s="147">
        <f>(21476783)/1000*$F$5</f>
        <v>21476.782999999999</v>
      </c>
      <c r="G160" s="147">
        <f>F160-(0)/1000*$F$5</f>
        <v>21476.782999999999</v>
      </c>
      <c r="H160" s="66" t="s">
        <v>643</v>
      </c>
      <c r="I160" s="78"/>
      <c r="J160" s="60" t="s">
        <v>644</v>
      </c>
    </row>
    <row r="161" spans="1:11" s="60" customFormat="1" ht="174" customHeight="1" x14ac:dyDescent="0.2">
      <c r="A161" s="75" t="s">
        <v>691</v>
      </c>
      <c r="B161" s="70" t="s">
        <v>645</v>
      </c>
      <c r="C161" s="140" t="s">
        <v>848</v>
      </c>
      <c r="D161" s="77" t="s">
        <v>16</v>
      </c>
      <c r="E161" s="77" t="s">
        <v>63</v>
      </c>
      <c r="F161" s="147">
        <f>(89000000)/1000*$F$5</f>
        <v>89000</v>
      </c>
      <c r="G161" s="147">
        <f>F161-(0)/1000*$F$5</f>
        <v>89000</v>
      </c>
      <c r="H161" s="66" t="s">
        <v>646</v>
      </c>
      <c r="I161" s="78"/>
    </row>
    <row r="162" spans="1:11" s="60" customFormat="1" ht="108" x14ac:dyDescent="0.2">
      <c r="A162" s="75" t="s">
        <v>693</v>
      </c>
      <c r="B162" s="70" t="s">
        <v>582</v>
      </c>
      <c r="C162" s="140" t="s">
        <v>655</v>
      </c>
      <c r="D162" s="77" t="s">
        <v>14</v>
      </c>
      <c r="E162" s="77" t="s">
        <v>91</v>
      </c>
      <c r="F162" s="147">
        <f>(2201287+41913)/1000*$F$5</f>
        <v>2243.1999999999998</v>
      </c>
      <c r="G162" s="147">
        <f>F162-(0)/1000*$F$5</f>
        <v>2243.1999999999998</v>
      </c>
      <c r="H162" s="66" t="s">
        <v>584</v>
      </c>
      <c r="I162" s="78"/>
      <c r="J162" s="60" t="s">
        <v>583</v>
      </c>
    </row>
    <row r="163" spans="1:11" s="60" customFormat="1" ht="88.5" customHeight="1" x14ac:dyDescent="0.2">
      <c r="A163" s="75" t="s">
        <v>694</v>
      </c>
      <c r="B163" s="70" t="s">
        <v>590</v>
      </c>
      <c r="C163" s="582" t="s">
        <v>849</v>
      </c>
      <c r="D163" s="77" t="s">
        <v>35</v>
      </c>
      <c r="E163" s="77" t="s">
        <v>230</v>
      </c>
      <c r="F163" s="147">
        <f>(3829000-217990)/1000*$F$5</f>
        <v>3611.01</v>
      </c>
      <c r="G163" s="147">
        <f>F163-(262712)/1000*$F$5</f>
        <v>3348.2980000000002</v>
      </c>
      <c r="H163" s="66" t="s">
        <v>776</v>
      </c>
      <c r="I163" s="78"/>
      <c r="J163" s="60" t="s">
        <v>588</v>
      </c>
    </row>
    <row r="164" spans="1:11" s="60" customFormat="1" ht="82.5" customHeight="1" x14ac:dyDescent="0.2">
      <c r="A164" s="75" t="s">
        <v>695</v>
      </c>
      <c r="B164" s="70" t="s">
        <v>777</v>
      </c>
      <c r="C164" s="584"/>
      <c r="D164" s="77" t="s">
        <v>7</v>
      </c>
      <c r="E164" s="113" t="s">
        <v>91</v>
      </c>
      <c r="F164" s="114">
        <f>(4794400)/1000*$F$5</f>
        <v>4794.3999999999996</v>
      </c>
      <c r="G164" s="114">
        <f>F164-(0)/1000*$F$5</f>
        <v>4794.3999999999996</v>
      </c>
      <c r="H164" s="66" t="s">
        <v>591</v>
      </c>
      <c r="I164" s="78"/>
      <c r="J164" s="60" t="s">
        <v>589</v>
      </c>
    </row>
    <row r="165" spans="1:11" s="60" customFormat="1" ht="67.5" customHeight="1" x14ac:dyDescent="0.2">
      <c r="A165" s="75" t="s">
        <v>696</v>
      </c>
      <c r="B165" s="94" t="s">
        <v>778</v>
      </c>
      <c r="C165" s="585" t="s">
        <v>593</v>
      </c>
      <c r="D165" s="11" t="s">
        <v>91</v>
      </c>
      <c r="E165" s="11" t="s">
        <v>11</v>
      </c>
      <c r="F165" s="147">
        <f>(643438996)/1000*$F$5</f>
        <v>643438.99600000004</v>
      </c>
      <c r="G165" s="147">
        <f>F165-(323242749+25894212+30130843+582706+506567+6431012+9466678+2847445+3299873+1773039+730584+2798678+4434391+900000+2970163)/1000*$F$5</f>
        <v>227430.05600000004</v>
      </c>
      <c r="H165" s="2" t="s">
        <v>595</v>
      </c>
      <c r="I165" s="3"/>
      <c r="J165" s="60" t="s">
        <v>596</v>
      </c>
    </row>
    <row r="166" spans="1:11" s="60" customFormat="1" ht="93" customHeight="1" x14ac:dyDescent="0.2">
      <c r="A166" s="75" t="s">
        <v>697</v>
      </c>
      <c r="B166" s="94" t="s">
        <v>594</v>
      </c>
      <c r="C166" s="586"/>
      <c r="D166" s="11" t="s">
        <v>211</v>
      </c>
      <c r="E166" s="11" t="s">
        <v>11</v>
      </c>
      <c r="F166" s="147">
        <f>(85900080)/1000*$F$5</f>
        <v>85900.08</v>
      </c>
      <c r="G166" s="147">
        <f>F166-(2220688+614603+606803)/1000*$F$5</f>
        <v>82457.986000000004</v>
      </c>
      <c r="H166" s="2" t="s">
        <v>779</v>
      </c>
      <c r="I166" s="3"/>
      <c r="J166" s="60" t="s">
        <v>597</v>
      </c>
    </row>
    <row r="167" spans="1:11" s="60" customFormat="1" ht="168" x14ac:dyDescent="0.2">
      <c r="A167" s="75" t="s">
        <v>698</v>
      </c>
      <c r="B167" s="94" t="s">
        <v>780</v>
      </c>
      <c r="C167" s="587"/>
      <c r="D167" s="11" t="s">
        <v>11</v>
      </c>
      <c r="E167" s="11" t="s">
        <v>598</v>
      </c>
      <c r="F167" s="147">
        <f>(142758713)/1000*$F$5</f>
        <v>142758.71299999999</v>
      </c>
      <c r="G167" s="147">
        <f>F167-(3974529+2178400+550000+3601754+7356265+501298)/1000*$F$5</f>
        <v>124596.46699999999</v>
      </c>
      <c r="H167" s="148" t="s">
        <v>781</v>
      </c>
      <c r="I167" s="3"/>
    </row>
    <row r="168" spans="1:11" s="60" customFormat="1" ht="69" customHeight="1" x14ac:dyDescent="0.2">
      <c r="A168" s="75" t="s">
        <v>700</v>
      </c>
      <c r="B168" s="70" t="s">
        <v>702</v>
      </c>
      <c r="C168" s="140" t="s">
        <v>701</v>
      </c>
      <c r="D168" s="77" t="s">
        <v>569</v>
      </c>
      <c r="E168" s="77" t="s">
        <v>91</v>
      </c>
      <c r="F168" s="147">
        <f>(18977634)/1000*$F$5</f>
        <v>18977.633999999998</v>
      </c>
      <c r="G168" s="147">
        <f>F168-(9713106)/1000*$F$5</f>
        <v>9264.5279999999984</v>
      </c>
      <c r="H168" s="140" t="s">
        <v>567</v>
      </c>
      <c r="I168" s="78"/>
      <c r="J168" s="60" t="s">
        <v>568</v>
      </c>
    </row>
    <row r="169" spans="1:11" s="60" customFormat="1" ht="72" x14ac:dyDescent="0.2">
      <c r="A169" s="75" t="s">
        <v>704</v>
      </c>
      <c r="B169" s="70" t="s">
        <v>782</v>
      </c>
      <c r="C169" s="140" t="s">
        <v>850</v>
      </c>
      <c r="D169" s="77" t="s">
        <v>95</v>
      </c>
      <c r="E169" s="77" t="s">
        <v>104</v>
      </c>
      <c r="F169" s="147">
        <f>(10466390)/1000*$F$5</f>
        <v>10466.39</v>
      </c>
      <c r="G169" s="147">
        <f>F169-(0)/1000*$F$5</f>
        <v>10466.39</v>
      </c>
      <c r="H169" s="66" t="s">
        <v>615</v>
      </c>
      <c r="I169" s="78"/>
      <c r="J169" s="60" t="s">
        <v>614</v>
      </c>
    </row>
    <row r="170" spans="1:11" s="60" customFormat="1" ht="96" x14ac:dyDescent="0.2">
      <c r="A170" s="112" t="s">
        <v>705</v>
      </c>
      <c r="B170" s="4" t="s">
        <v>783</v>
      </c>
      <c r="C170" s="131" t="s">
        <v>629</v>
      </c>
      <c r="D170" s="77" t="s">
        <v>95</v>
      </c>
      <c r="E170" s="77" t="s">
        <v>21</v>
      </c>
      <c r="F170" s="111">
        <f>(19971733.7)/1000*$F$5</f>
        <v>19971.733700000001</v>
      </c>
      <c r="G170" s="111">
        <f>F170-(0)/1000*$F$5</f>
        <v>19971.733700000001</v>
      </c>
      <c r="H170" s="66" t="s">
        <v>631</v>
      </c>
      <c r="I170" s="78"/>
      <c r="J170" s="68" t="s">
        <v>630</v>
      </c>
      <c r="K170" s="60">
        <v>19971733.699999999</v>
      </c>
    </row>
    <row r="171" spans="1:11" s="60" customFormat="1" ht="60" customHeight="1" x14ac:dyDescent="0.2">
      <c r="A171" s="16" t="s">
        <v>706</v>
      </c>
      <c r="B171" s="70" t="s">
        <v>784</v>
      </c>
      <c r="C171" s="582" t="s">
        <v>571</v>
      </c>
      <c r="D171" s="19"/>
      <c r="E171" s="19"/>
      <c r="F171" s="21"/>
      <c r="G171" s="21"/>
      <c r="H171" s="58"/>
      <c r="I171" s="15"/>
    </row>
    <row r="172" spans="1:11" s="60" customFormat="1" ht="38.25" customHeight="1" x14ac:dyDescent="0.2">
      <c r="A172" s="16" t="s">
        <v>707</v>
      </c>
      <c r="B172" s="92" t="s">
        <v>785</v>
      </c>
      <c r="C172" s="583"/>
      <c r="D172" s="19" t="s">
        <v>49</v>
      </c>
      <c r="E172" s="19" t="s">
        <v>7</v>
      </c>
      <c r="F172" s="21">
        <f>(7958431)/1000*$F$5</f>
        <v>7958.4309999999996</v>
      </c>
      <c r="G172" s="21">
        <f>F172-(0)/1000*$F$5</f>
        <v>7958.4309999999996</v>
      </c>
      <c r="H172" s="58" t="s">
        <v>572</v>
      </c>
      <c r="I172" s="15"/>
      <c r="J172" s="60" t="s">
        <v>573</v>
      </c>
    </row>
    <row r="173" spans="1:11" s="60" customFormat="1" ht="340.5" customHeight="1" x14ac:dyDescent="0.2">
      <c r="A173" s="16" t="s">
        <v>708</v>
      </c>
      <c r="B173" s="92" t="s">
        <v>574</v>
      </c>
      <c r="C173" s="583"/>
      <c r="D173" s="19" t="s">
        <v>52</v>
      </c>
      <c r="E173" s="19" t="s">
        <v>63</v>
      </c>
      <c r="F173" s="21">
        <f>(201397276)/1000*$F$5</f>
        <v>201397.27600000001</v>
      </c>
      <c r="G173" s="21">
        <f>F173-(2563200+6523166+2974576+382255)/1000*$F$5</f>
        <v>188954.07900000003</v>
      </c>
      <c r="H173" s="58" t="s">
        <v>851</v>
      </c>
      <c r="I173" s="15"/>
      <c r="J173" s="60" t="s">
        <v>575</v>
      </c>
    </row>
    <row r="174" spans="1:11" s="60" customFormat="1" ht="156.75" customHeight="1" x14ac:dyDescent="0.2">
      <c r="A174" s="16" t="s">
        <v>709</v>
      </c>
      <c r="B174" s="92" t="s">
        <v>576</v>
      </c>
      <c r="C174" s="583"/>
      <c r="D174" s="19" t="s">
        <v>488</v>
      </c>
      <c r="E174" s="19" t="s">
        <v>19</v>
      </c>
      <c r="F174" s="21">
        <f>(17518524)/1000*$F$5</f>
        <v>17518.524000000001</v>
      </c>
      <c r="G174" s="21">
        <f>F174-(0)/1000*$F$5</f>
        <v>17518.524000000001</v>
      </c>
      <c r="H174" s="58" t="s">
        <v>786</v>
      </c>
      <c r="I174" s="15"/>
      <c r="J174" s="60" t="s">
        <v>577</v>
      </c>
    </row>
    <row r="175" spans="1:11" s="60" customFormat="1" ht="42" customHeight="1" x14ac:dyDescent="0.2">
      <c r="A175" s="16" t="s">
        <v>710</v>
      </c>
      <c r="B175" s="92" t="s">
        <v>599</v>
      </c>
      <c r="C175" s="583"/>
      <c r="D175" s="19" t="s">
        <v>7</v>
      </c>
      <c r="E175" s="19" t="s">
        <v>11</v>
      </c>
      <c r="F175" s="21">
        <f>(43708282)/1000*$F$5</f>
        <v>43708.281999999999</v>
      </c>
      <c r="G175" s="21">
        <f>F175-(0)/1000*$F$5</f>
        <v>43708.281999999999</v>
      </c>
      <c r="H175" s="58" t="s">
        <v>716</v>
      </c>
      <c r="I175" s="15"/>
      <c r="J175" s="60" t="s">
        <v>603</v>
      </c>
      <c r="K175" s="60">
        <v>43708282</v>
      </c>
    </row>
    <row r="176" spans="1:11" s="60" customFormat="1" ht="81.75" customHeight="1" x14ac:dyDescent="0.2">
      <c r="A176" s="16" t="s">
        <v>711</v>
      </c>
      <c r="B176" s="92" t="s">
        <v>600</v>
      </c>
      <c r="C176" s="583"/>
      <c r="D176" s="19" t="s">
        <v>86</v>
      </c>
      <c r="E176" s="19" t="s">
        <v>511</v>
      </c>
      <c r="F176" s="21">
        <f>(6500000)/1000*$F$5</f>
        <v>6500</v>
      </c>
      <c r="G176" s="21">
        <f>F176-(0)/1000*$F$5</f>
        <v>6500</v>
      </c>
      <c r="H176" s="58" t="s">
        <v>601</v>
      </c>
      <c r="I176" s="15"/>
      <c r="J176" s="60" t="s">
        <v>602</v>
      </c>
    </row>
    <row r="177" spans="1:10" s="60" customFormat="1" ht="48" x14ac:dyDescent="0.2">
      <c r="A177" s="16" t="s">
        <v>712</v>
      </c>
      <c r="B177" s="92" t="s">
        <v>604</v>
      </c>
      <c r="C177" s="583"/>
      <c r="D177" s="19" t="s">
        <v>137</v>
      </c>
      <c r="E177" s="19" t="s">
        <v>15</v>
      </c>
      <c r="F177" s="21">
        <f>(35378118)/1000*$F$5</f>
        <v>35378.118000000002</v>
      </c>
      <c r="G177" s="21">
        <f>F177-(3938389+901930+3555281+3476986+654073)/1000*$F$5</f>
        <v>22851.459000000003</v>
      </c>
      <c r="H177" s="58" t="s">
        <v>717</v>
      </c>
      <c r="I177" s="15"/>
      <c r="J177" s="60" t="s">
        <v>605</v>
      </c>
    </row>
    <row r="178" spans="1:10" s="60" customFormat="1" ht="36" x14ac:dyDescent="0.2">
      <c r="A178" s="16" t="s">
        <v>713</v>
      </c>
      <c r="B178" s="92" t="s">
        <v>607</v>
      </c>
      <c r="C178" s="583"/>
      <c r="D178" s="19" t="s">
        <v>137</v>
      </c>
      <c r="E178" s="19" t="s">
        <v>606</v>
      </c>
      <c r="F178" s="21">
        <f>(33543354)/1000*$F$5</f>
        <v>33543.353999999999</v>
      </c>
      <c r="G178" s="21">
        <f>F178-(4632327+4377223+2736212)/1000*$F$5</f>
        <v>21797.591999999997</v>
      </c>
      <c r="H178" s="58" t="s">
        <v>718</v>
      </c>
      <c r="I178" s="15"/>
      <c r="J178" s="60" t="s">
        <v>608</v>
      </c>
    </row>
    <row r="179" spans="1:10" s="60" customFormat="1" ht="96" x14ac:dyDescent="0.2">
      <c r="A179" s="16" t="s">
        <v>714</v>
      </c>
      <c r="B179" s="92" t="s">
        <v>607</v>
      </c>
      <c r="C179" s="583"/>
      <c r="D179" s="19" t="s">
        <v>137</v>
      </c>
      <c r="E179" s="19" t="s">
        <v>610</v>
      </c>
      <c r="F179" s="21">
        <f>(20995727)/1000*$F$5</f>
        <v>20995.726999999999</v>
      </c>
      <c r="G179" s="21">
        <f>F179-(11424321)/1000*$F$5</f>
        <v>9571.405999999999</v>
      </c>
      <c r="H179" s="58" t="s">
        <v>719</v>
      </c>
      <c r="I179" s="15"/>
      <c r="J179" s="60" t="s">
        <v>609</v>
      </c>
    </row>
    <row r="180" spans="1:10" s="60" customFormat="1" ht="56.25" customHeight="1" x14ac:dyDescent="0.2">
      <c r="A180" s="75" t="s">
        <v>715</v>
      </c>
      <c r="B180" s="92" t="s">
        <v>611</v>
      </c>
      <c r="C180" s="584"/>
      <c r="D180" s="19" t="s">
        <v>95</v>
      </c>
      <c r="E180" s="19" t="s">
        <v>613</v>
      </c>
      <c r="F180" s="21">
        <f>(5000000)/1000*$F$5</f>
        <v>5000</v>
      </c>
      <c r="G180" s="21">
        <f>F180-(1932000)/1000*$F$5</f>
        <v>3068</v>
      </c>
      <c r="H180" s="58" t="s">
        <v>720</v>
      </c>
      <c r="I180" s="15"/>
      <c r="J180" s="60" t="s">
        <v>612</v>
      </c>
    </row>
    <row r="181" spans="1:10" ht="36.75" customHeight="1" x14ac:dyDescent="0.2">
      <c r="A181" s="16" t="s">
        <v>721</v>
      </c>
      <c r="B181" s="70" t="s">
        <v>787</v>
      </c>
      <c r="C181" s="585" t="s">
        <v>789</v>
      </c>
      <c r="D181" s="18"/>
      <c r="E181" s="18"/>
      <c r="F181" s="146">
        <f>(0)/1000*$F$5</f>
        <v>0</v>
      </c>
      <c r="G181" s="146">
        <f t="shared" ref="G181:G186" si="6">F181-(0)/1000*$F$5</f>
        <v>0</v>
      </c>
      <c r="H181" s="141"/>
      <c r="I181" s="35"/>
    </row>
    <row r="182" spans="1:10" ht="36" x14ac:dyDescent="0.2">
      <c r="A182" s="16" t="s">
        <v>722</v>
      </c>
      <c r="B182" s="92" t="s">
        <v>788</v>
      </c>
      <c r="C182" s="586"/>
      <c r="D182" s="19" t="s">
        <v>176</v>
      </c>
      <c r="E182" s="19" t="s">
        <v>48</v>
      </c>
      <c r="F182" s="21">
        <f>(6900000+4477636)/1000*$F$5</f>
        <v>11377.636</v>
      </c>
      <c r="G182" s="21">
        <f t="shared" si="6"/>
        <v>11377.636</v>
      </c>
      <c r="H182" s="142" t="s">
        <v>451</v>
      </c>
      <c r="I182" s="34"/>
      <c r="J182" s="62" t="s">
        <v>452</v>
      </c>
    </row>
    <row r="183" spans="1:10" ht="108" x14ac:dyDescent="0.2">
      <c r="A183" s="16" t="s">
        <v>723</v>
      </c>
      <c r="B183" s="92" t="s">
        <v>453</v>
      </c>
      <c r="C183" s="586"/>
      <c r="D183" s="19" t="s">
        <v>176</v>
      </c>
      <c r="E183" s="19" t="s">
        <v>181</v>
      </c>
      <c r="F183" s="21">
        <f>(11864407)/1000*$F$5</f>
        <v>11864.406999999999</v>
      </c>
      <c r="G183" s="21">
        <f t="shared" si="6"/>
        <v>11864.406999999999</v>
      </c>
      <c r="H183" s="142" t="s">
        <v>538</v>
      </c>
      <c r="I183" s="34"/>
      <c r="J183" s="1" t="s">
        <v>456</v>
      </c>
    </row>
    <row r="184" spans="1:10" ht="36" x14ac:dyDescent="0.2">
      <c r="A184" s="16" t="s">
        <v>724</v>
      </c>
      <c r="B184" s="92" t="s">
        <v>457</v>
      </c>
      <c r="C184" s="586"/>
      <c r="D184" s="19" t="s">
        <v>295</v>
      </c>
      <c r="E184" s="24" t="s">
        <v>48</v>
      </c>
      <c r="F184" s="21">
        <f>(2633979.11)/1000*$F$5</f>
        <v>2633.9791099999998</v>
      </c>
      <c r="G184" s="21">
        <f t="shared" si="6"/>
        <v>2633.9791099999998</v>
      </c>
      <c r="H184" s="142" t="s">
        <v>466</v>
      </c>
      <c r="I184" s="34"/>
      <c r="J184" s="1" t="s">
        <v>460</v>
      </c>
    </row>
    <row r="185" spans="1:10" ht="36" x14ac:dyDescent="0.2">
      <c r="A185" s="16" t="s">
        <v>725</v>
      </c>
      <c r="B185" s="92" t="s">
        <v>458</v>
      </c>
      <c r="C185" s="586"/>
      <c r="D185" s="19" t="s">
        <v>410</v>
      </c>
      <c r="E185" s="24" t="s">
        <v>13</v>
      </c>
      <c r="F185" s="21">
        <f>(2058211.12)/1000*$F$5</f>
        <v>2058.2111199999999</v>
      </c>
      <c r="G185" s="21">
        <f t="shared" si="6"/>
        <v>2058.2111199999999</v>
      </c>
      <c r="H185" s="142" t="s">
        <v>539</v>
      </c>
      <c r="I185" s="34"/>
      <c r="J185" s="1" t="s">
        <v>459</v>
      </c>
    </row>
    <row r="186" spans="1:10" ht="48" x14ac:dyDescent="0.2">
      <c r="A186" s="16" t="s">
        <v>726</v>
      </c>
      <c r="B186" s="92" t="s">
        <v>461</v>
      </c>
      <c r="C186" s="586"/>
      <c r="D186" s="19" t="s">
        <v>126</v>
      </c>
      <c r="E186" s="24" t="s">
        <v>410</v>
      </c>
      <c r="F186" s="21">
        <f>(2038983)/1000*$F$5</f>
        <v>2038.9829999999999</v>
      </c>
      <c r="G186" s="21">
        <f t="shared" si="6"/>
        <v>2038.9829999999999</v>
      </c>
      <c r="H186" s="142" t="s">
        <v>462</v>
      </c>
      <c r="I186" s="34"/>
      <c r="J186" s="1" t="s">
        <v>465</v>
      </c>
    </row>
    <row r="187" spans="1:10" ht="36" x14ac:dyDescent="0.2">
      <c r="A187" s="16" t="s">
        <v>727</v>
      </c>
      <c r="B187" s="92" t="s">
        <v>464</v>
      </c>
      <c r="C187" s="586"/>
      <c r="D187" s="19" t="s">
        <v>8</v>
      </c>
      <c r="E187" s="24" t="s">
        <v>14</v>
      </c>
      <c r="F187" s="21">
        <f>(130768063)/1000*$F$5</f>
        <v>130768.06299999999</v>
      </c>
      <c r="G187" s="21">
        <f>F187-(25018370+1469829+12347573)/1000*$F$5</f>
        <v>91932.290999999997</v>
      </c>
      <c r="H187" s="142" t="s">
        <v>467</v>
      </c>
      <c r="I187" s="34"/>
      <c r="J187" s="1" t="s">
        <v>468</v>
      </c>
    </row>
    <row r="188" spans="1:10" ht="84" x14ac:dyDescent="0.2">
      <c r="A188" s="16" t="s">
        <v>728</v>
      </c>
      <c r="B188" s="92" t="s">
        <v>469</v>
      </c>
      <c r="C188" s="586"/>
      <c r="D188" s="19" t="s">
        <v>179</v>
      </c>
      <c r="E188" s="19" t="s">
        <v>7</v>
      </c>
      <c r="F188" s="21">
        <f>(5544496)/1000*$F$5</f>
        <v>5544.4960000000001</v>
      </c>
      <c r="G188" s="21">
        <f>F188-(0)/1000*$F$5</f>
        <v>5544.4960000000001</v>
      </c>
      <c r="H188" s="142" t="s">
        <v>470</v>
      </c>
      <c r="I188" s="34"/>
      <c r="J188" s="1" t="s">
        <v>471</v>
      </c>
    </row>
    <row r="189" spans="1:10" ht="48" x14ac:dyDescent="0.2">
      <c r="A189" s="16" t="s">
        <v>729</v>
      </c>
      <c r="B189" s="92" t="s">
        <v>472</v>
      </c>
      <c r="C189" s="586"/>
      <c r="D189" s="19" t="s">
        <v>78</v>
      </c>
      <c r="E189" s="19" t="s">
        <v>78</v>
      </c>
      <c r="F189" s="21">
        <f>(829818)/1000*$F$5</f>
        <v>829.81799999999998</v>
      </c>
      <c r="G189" s="21">
        <f>F189-(0)/1000*$F$5</f>
        <v>829.81799999999998</v>
      </c>
      <c r="H189" s="142" t="s">
        <v>475</v>
      </c>
      <c r="I189" s="34"/>
      <c r="J189" s="1" t="s">
        <v>473</v>
      </c>
    </row>
    <row r="190" spans="1:10" ht="60" x14ac:dyDescent="0.2">
      <c r="A190" s="16" t="s">
        <v>730</v>
      </c>
      <c r="B190" s="92" t="s">
        <v>474</v>
      </c>
      <c r="C190" s="586"/>
      <c r="D190" s="19" t="s">
        <v>124</v>
      </c>
      <c r="E190" s="19" t="s">
        <v>14</v>
      </c>
      <c r="F190" s="21">
        <f>(100377169)/1000*$F$5</f>
        <v>100377.16899999999</v>
      </c>
      <c r="G190" s="21">
        <f>F190-(25100604.84)/1000*$F$5</f>
        <v>75276.564159999994</v>
      </c>
      <c r="H190" s="142" t="s">
        <v>476</v>
      </c>
      <c r="I190" s="34"/>
      <c r="J190" s="1" t="s">
        <v>477</v>
      </c>
    </row>
    <row r="191" spans="1:10" ht="60" x14ac:dyDescent="0.2">
      <c r="A191" s="16" t="s">
        <v>731</v>
      </c>
      <c r="B191" s="92" t="s">
        <v>478</v>
      </c>
      <c r="C191" s="586"/>
      <c r="D191" s="19" t="s">
        <v>4</v>
      </c>
      <c r="E191" s="19" t="s">
        <v>24</v>
      </c>
      <c r="F191" s="21">
        <f>(22587631)/1000*$F$5</f>
        <v>22587.631000000001</v>
      </c>
      <c r="G191" s="21">
        <f>F191-(0)/1000*$F$5</f>
        <v>22587.631000000001</v>
      </c>
      <c r="H191" s="58" t="s">
        <v>479</v>
      </c>
      <c r="I191" s="59"/>
      <c r="J191" s="1" t="s">
        <v>480</v>
      </c>
    </row>
    <row r="192" spans="1:10" ht="23.25" customHeight="1" x14ac:dyDescent="0.2">
      <c r="A192" s="16" t="s">
        <v>732</v>
      </c>
      <c r="B192" s="48" t="s">
        <v>481</v>
      </c>
      <c r="C192" s="586"/>
      <c r="D192" s="19" t="s">
        <v>427</v>
      </c>
      <c r="E192" s="19" t="s">
        <v>84</v>
      </c>
      <c r="F192" s="21">
        <f>(24378308.18)/1000*$F$5</f>
        <v>24378.30818</v>
      </c>
      <c r="G192" s="21">
        <f>F192-(3669923.61)/1000*$F$5</f>
        <v>20708.384570000002</v>
      </c>
      <c r="H192" s="142" t="s">
        <v>482</v>
      </c>
      <c r="I192" s="34"/>
      <c r="J192" s="1" t="s">
        <v>483</v>
      </c>
    </row>
    <row r="193" spans="1:10" ht="48" x14ac:dyDescent="0.2">
      <c r="A193" s="16" t="s">
        <v>733</v>
      </c>
      <c r="B193" s="92" t="s">
        <v>485</v>
      </c>
      <c r="C193" s="586"/>
      <c r="D193" s="19" t="s">
        <v>427</v>
      </c>
      <c r="E193" s="24" t="s">
        <v>230</v>
      </c>
      <c r="F193" s="21">
        <f>(18119912)/1000*$F$5</f>
        <v>18119.912</v>
      </c>
      <c r="G193" s="21">
        <f>F193-(0)/1000*$F$5</f>
        <v>18119.912</v>
      </c>
      <c r="H193" s="142" t="s">
        <v>487</v>
      </c>
      <c r="I193" s="34"/>
      <c r="J193" s="1" t="s">
        <v>486</v>
      </c>
    </row>
    <row r="194" spans="1:10" ht="60" x14ac:dyDescent="0.2">
      <c r="A194" s="16" t="s">
        <v>734</v>
      </c>
      <c r="B194" s="92" t="s">
        <v>484</v>
      </c>
      <c r="C194" s="586"/>
      <c r="D194" s="19" t="s">
        <v>427</v>
      </c>
      <c r="E194" s="19" t="s">
        <v>488</v>
      </c>
      <c r="F194" s="21">
        <f>(50693441.39)/1000*$F$5</f>
        <v>50693.44139</v>
      </c>
      <c r="G194" s="21">
        <f>F194-(7118161)/1000*$F$5</f>
        <v>43575.28039</v>
      </c>
      <c r="H194" s="142" t="s">
        <v>489</v>
      </c>
      <c r="I194" s="34"/>
      <c r="J194" s="1" t="s">
        <v>490</v>
      </c>
    </row>
    <row r="195" spans="1:10" ht="36" x14ac:dyDescent="0.2">
      <c r="A195" s="16" t="s">
        <v>735</v>
      </c>
      <c r="B195" s="92" t="s">
        <v>491</v>
      </c>
      <c r="C195" s="586"/>
      <c r="D195" s="19" t="s">
        <v>230</v>
      </c>
      <c r="E195" s="24" t="s">
        <v>7</v>
      </c>
      <c r="F195" s="21">
        <f>(1289255)/1000*$F$5</f>
        <v>1289.2550000000001</v>
      </c>
      <c r="G195" s="21">
        <f>F195-(0)/1000*$F$5</f>
        <v>1289.2550000000001</v>
      </c>
      <c r="H195" s="142" t="s">
        <v>492</v>
      </c>
      <c r="I195" s="34"/>
      <c r="J195" s="1" t="s">
        <v>493</v>
      </c>
    </row>
    <row r="196" spans="1:10" ht="24" x14ac:dyDescent="0.2">
      <c r="A196" s="16" t="s">
        <v>736</v>
      </c>
      <c r="B196" s="92" t="s">
        <v>495</v>
      </c>
      <c r="C196" s="586"/>
      <c r="D196" s="19" t="s">
        <v>230</v>
      </c>
      <c r="E196" s="24" t="s">
        <v>7</v>
      </c>
      <c r="F196" s="21">
        <f>(998697)/1000*$F$5</f>
        <v>998.697</v>
      </c>
      <c r="G196" s="21">
        <f>F196-(0)/1000*$F$5</f>
        <v>998.697</v>
      </c>
      <c r="H196" s="142" t="s">
        <v>540</v>
      </c>
      <c r="I196" s="34"/>
      <c r="J196" s="1" t="s">
        <v>494</v>
      </c>
    </row>
    <row r="197" spans="1:10" ht="72" x14ac:dyDescent="0.2">
      <c r="A197" s="16" t="s">
        <v>737</v>
      </c>
      <c r="B197" s="92" t="s">
        <v>497</v>
      </c>
      <c r="C197" s="586"/>
      <c r="D197" s="19" t="s">
        <v>499</v>
      </c>
      <c r="E197" s="24" t="s">
        <v>500</v>
      </c>
      <c r="F197" s="21">
        <f>(4308132)/1000*$F$5</f>
        <v>4308.1319999999996</v>
      </c>
      <c r="G197" s="21">
        <f>F197-(1306408)/1000*$F$5</f>
        <v>3001.7239999999997</v>
      </c>
      <c r="H197" s="142" t="s">
        <v>498</v>
      </c>
      <c r="I197" s="34"/>
      <c r="J197" s="1" t="s">
        <v>496</v>
      </c>
    </row>
    <row r="198" spans="1:10" ht="36" x14ac:dyDescent="0.2">
      <c r="A198" s="16" t="s">
        <v>738</v>
      </c>
      <c r="B198" s="92" t="s">
        <v>501</v>
      </c>
      <c r="C198" s="586"/>
      <c r="D198" s="19" t="s">
        <v>132</v>
      </c>
      <c r="E198" s="24" t="s">
        <v>9</v>
      </c>
      <c r="F198" s="21">
        <f>(12401096)/1000*$F$5</f>
        <v>12401.096</v>
      </c>
      <c r="G198" s="21">
        <f t="shared" ref="G198:G221" si="7">F198-(0)/1000*$F$5</f>
        <v>12401.096</v>
      </c>
      <c r="H198" s="142" t="s">
        <v>502</v>
      </c>
      <c r="I198" s="34"/>
      <c r="J198" s="1" t="s">
        <v>503</v>
      </c>
    </row>
    <row r="199" spans="1:10" ht="48" x14ac:dyDescent="0.2">
      <c r="A199" s="16" t="s">
        <v>739</v>
      </c>
      <c r="B199" s="92" t="s">
        <v>509</v>
      </c>
      <c r="C199" s="586"/>
      <c r="D199" s="19" t="s">
        <v>7</v>
      </c>
      <c r="E199" s="19" t="s">
        <v>93</v>
      </c>
      <c r="F199" s="21">
        <f>(1022700)/1000*$F$5</f>
        <v>1022.7</v>
      </c>
      <c r="G199" s="21">
        <f t="shared" si="7"/>
        <v>1022.7</v>
      </c>
      <c r="H199" s="142" t="s">
        <v>505</v>
      </c>
      <c r="I199" s="34"/>
      <c r="J199" s="1" t="s">
        <v>504</v>
      </c>
    </row>
    <row r="200" spans="1:10" ht="48" x14ac:dyDescent="0.2">
      <c r="A200" s="16" t="s">
        <v>740</v>
      </c>
      <c r="B200" s="92" t="s">
        <v>509</v>
      </c>
      <c r="C200" s="586"/>
      <c r="D200" s="19" t="s">
        <v>508</v>
      </c>
      <c r="E200" s="19" t="s">
        <v>86</v>
      </c>
      <c r="F200" s="21">
        <f>(8552344)/1000*$F$5</f>
        <v>8552.3439999999991</v>
      </c>
      <c r="G200" s="21">
        <f t="shared" si="7"/>
        <v>8552.3439999999991</v>
      </c>
      <c r="H200" s="142" t="s">
        <v>507</v>
      </c>
      <c r="I200" s="34"/>
      <c r="J200" s="1" t="s">
        <v>506</v>
      </c>
    </row>
    <row r="201" spans="1:10" ht="48" x14ac:dyDescent="0.2">
      <c r="A201" s="16" t="s">
        <v>741</v>
      </c>
      <c r="B201" s="92" t="s">
        <v>541</v>
      </c>
      <c r="C201" s="586"/>
      <c r="D201" s="19" t="s">
        <v>86</v>
      </c>
      <c r="E201" s="19" t="s">
        <v>511</v>
      </c>
      <c r="F201" s="21">
        <f>(1554362)/1000*$F$5</f>
        <v>1554.3620000000001</v>
      </c>
      <c r="G201" s="21">
        <f t="shared" si="7"/>
        <v>1554.3620000000001</v>
      </c>
      <c r="H201" s="142" t="s">
        <v>512</v>
      </c>
      <c r="I201" s="34"/>
      <c r="J201" s="1" t="s">
        <v>510</v>
      </c>
    </row>
    <row r="202" spans="1:10" ht="48" x14ac:dyDescent="0.2">
      <c r="A202" s="16" t="s">
        <v>742</v>
      </c>
      <c r="B202" s="92" t="s">
        <v>514</v>
      </c>
      <c r="C202" s="586"/>
      <c r="D202" s="19" t="s">
        <v>511</v>
      </c>
      <c r="E202" s="19" t="s">
        <v>95</v>
      </c>
      <c r="F202" s="21">
        <f>(5110000)/1000*$F$5</f>
        <v>5110</v>
      </c>
      <c r="G202" s="21">
        <f t="shared" si="7"/>
        <v>5110</v>
      </c>
      <c r="H202" s="58" t="s">
        <v>515</v>
      </c>
      <c r="I202" s="59"/>
      <c r="J202" s="1" t="s">
        <v>513</v>
      </c>
    </row>
    <row r="203" spans="1:10" ht="36" x14ac:dyDescent="0.2">
      <c r="A203" s="16" t="s">
        <v>743</v>
      </c>
      <c r="B203" s="92" t="s">
        <v>517</v>
      </c>
      <c r="C203" s="586"/>
      <c r="D203" s="19" t="s">
        <v>58</v>
      </c>
      <c r="E203" s="19" t="s">
        <v>58</v>
      </c>
      <c r="F203" s="21">
        <f>(3205702)/1000*$F$5</f>
        <v>3205.7020000000002</v>
      </c>
      <c r="G203" s="21">
        <f t="shared" si="7"/>
        <v>3205.7020000000002</v>
      </c>
      <c r="H203" s="142" t="s">
        <v>482</v>
      </c>
      <c r="I203" s="34"/>
      <c r="J203" s="1" t="s">
        <v>516</v>
      </c>
    </row>
    <row r="204" spans="1:10" ht="36" x14ac:dyDescent="0.2">
      <c r="A204" s="16" t="s">
        <v>744</v>
      </c>
      <c r="B204" s="92" t="s">
        <v>542</v>
      </c>
      <c r="C204" s="586"/>
      <c r="D204" s="19" t="s">
        <v>91</v>
      </c>
      <c r="E204" s="24" t="s">
        <v>139</v>
      </c>
      <c r="F204" s="21">
        <f>(9056742)/1000*$F$5</f>
        <v>9056.7420000000002</v>
      </c>
      <c r="G204" s="21">
        <f t="shared" si="7"/>
        <v>9056.7420000000002</v>
      </c>
      <c r="H204" s="142" t="s">
        <v>521</v>
      </c>
      <c r="I204" s="34"/>
      <c r="J204" s="1" t="s">
        <v>518</v>
      </c>
    </row>
    <row r="205" spans="1:10" ht="36" x14ac:dyDescent="0.2">
      <c r="A205" s="16" t="s">
        <v>745</v>
      </c>
      <c r="B205" s="92" t="s">
        <v>542</v>
      </c>
      <c r="C205" s="586"/>
      <c r="D205" s="19" t="s">
        <v>139</v>
      </c>
      <c r="E205" s="19" t="s">
        <v>211</v>
      </c>
      <c r="F205" s="21">
        <f>(3645714)/1000*$F$5</f>
        <v>3645.7139999999999</v>
      </c>
      <c r="G205" s="21">
        <f t="shared" si="7"/>
        <v>3645.7139999999999</v>
      </c>
      <c r="H205" s="142" t="s">
        <v>523</v>
      </c>
      <c r="I205" s="34"/>
      <c r="J205" s="1" t="s">
        <v>522</v>
      </c>
    </row>
    <row r="206" spans="1:10" ht="72" x14ac:dyDescent="0.2">
      <c r="A206" s="16" t="s">
        <v>746</v>
      </c>
      <c r="B206" s="92" t="s">
        <v>542</v>
      </c>
      <c r="C206" s="586"/>
      <c r="D206" s="19" t="s">
        <v>211</v>
      </c>
      <c r="E206" s="24" t="s">
        <v>519</v>
      </c>
      <c r="F206" s="21">
        <f>(5120965)/1000*$F$5</f>
        <v>5120.9650000000001</v>
      </c>
      <c r="G206" s="21">
        <f t="shared" si="7"/>
        <v>5120.9650000000001</v>
      </c>
      <c r="H206" s="142" t="s">
        <v>790</v>
      </c>
      <c r="I206" s="34"/>
      <c r="J206" s="1" t="s">
        <v>520</v>
      </c>
    </row>
    <row r="207" spans="1:10" ht="36" x14ac:dyDescent="0.2">
      <c r="A207" s="16" t="s">
        <v>747</v>
      </c>
      <c r="B207" s="92" t="s">
        <v>525</v>
      </c>
      <c r="C207" s="586"/>
      <c r="D207" s="19" t="s">
        <v>101</v>
      </c>
      <c r="E207" s="24" t="s">
        <v>141</v>
      </c>
      <c r="F207" s="21">
        <f>(3928184)/1000*$F$5</f>
        <v>3928.1840000000002</v>
      </c>
      <c r="G207" s="21">
        <f t="shared" si="7"/>
        <v>3928.1840000000002</v>
      </c>
      <c r="H207" s="142" t="s">
        <v>528</v>
      </c>
      <c r="I207" s="34"/>
      <c r="J207" s="1" t="s">
        <v>524</v>
      </c>
    </row>
    <row r="208" spans="1:10" ht="36" x14ac:dyDescent="0.2">
      <c r="A208" s="16" t="s">
        <v>748</v>
      </c>
      <c r="B208" s="92" t="s">
        <v>526</v>
      </c>
      <c r="C208" s="586"/>
      <c r="D208" s="19" t="s">
        <v>104</v>
      </c>
      <c r="E208" s="24" t="s">
        <v>20</v>
      </c>
      <c r="F208" s="21">
        <f>(1807561)/1000*$F$5</f>
        <v>1807.5609999999999</v>
      </c>
      <c r="G208" s="21">
        <f t="shared" si="7"/>
        <v>1807.5609999999999</v>
      </c>
      <c r="H208" s="142" t="s">
        <v>422</v>
      </c>
      <c r="I208" s="34"/>
      <c r="J208" s="1" t="s">
        <v>527</v>
      </c>
    </row>
    <row r="209" spans="1:10" ht="84" x14ac:dyDescent="0.2">
      <c r="A209" s="16" t="s">
        <v>749</v>
      </c>
      <c r="B209" s="92" t="s">
        <v>529</v>
      </c>
      <c r="C209" s="586"/>
      <c r="D209" s="19" t="s">
        <v>107</v>
      </c>
      <c r="E209" s="24" t="s">
        <v>531</v>
      </c>
      <c r="F209" s="21">
        <f>(3056511)/1000*$F$5</f>
        <v>3056.511</v>
      </c>
      <c r="G209" s="21">
        <f t="shared" si="7"/>
        <v>3056.511</v>
      </c>
      <c r="H209" s="142" t="s">
        <v>530</v>
      </c>
      <c r="I209" s="34"/>
      <c r="J209" s="1" t="s">
        <v>532</v>
      </c>
    </row>
    <row r="210" spans="1:10" ht="36" x14ac:dyDescent="0.2">
      <c r="A210" s="17" t="s">
        <v>750</v>
      </c>
      <c r="B210" s="92" t="s">
        <v>534</v>
      </c>
      <c r="C210" s="587"/>
      <c r="D210" s="19" t="s">
        <v>107</v>
      </c>
      <c r="E210" s="24" t="s">
        <v>17</v>
      </c>
      <c r="F210" s="147">
        <f>(6230000)/1000*$F$5</f>
        <v>6230</v>
      </c>
      <c r="G210" s="147">
        <f t="shared" si="7"/>
        <v>6230</v>
      </c>
      <c r="H210" s="142" t="s">
        <v>535</v>
      </c>
      <c r="I210" s="34"/>
      <c r="J210" s="1" t="s">
        <v>533</v>
      </c>
    </row>
    <row r="211" spans="1:10" ht="96" x14ac:dyDescent="0.2">
      <c r="A211" s="17" t="s">
        <v>751</v>
      </c>
      <c r="B211" s="129" t="s">
        <v>791</v>
      </c>
      <c r="C211" s="71" t="s">
        <v>792</v>
      </c>
      <c r="D211" s="11" t="s">
        <v>86</v>
      </c>
      <c r="E211" s="11" t="s">
        <v>91</v>
      </c>
      <c r="F211" s="147">
        <f>(2720619)/1000*$F$5</f>
        <v>2720.6190000000001</v>
      </c>
      <c r="G211" s="147">
        <f t="shared" si="7"/>
        <v>2720.6190000000001</v>
      </c>
      <c r="H211" s="2" t="s">
        <v>793</v>
      </c>
      <c r="I211" s="3"/>
      <c r="J211" s="1" t="s">
        <v>628</v>
      </c>
    </row>
    <row r="212" spans="1:10" ht="48" x14ac:dyDescent="0.2">
      <c r="A212" s="17" t="s">
        <v>752</v>
      </c>
      <c r="B212" s="94" t="s">
        <v>635</v>
      </c>
      <c r="C212" s="71" t="s">
        <v>636</v>
      </c>
      <c r="D212" s="11" t="s">
        <v>22</v>
      </c>
      <c r="E212" s="11" t="s">
        <v>18</v>
      </c>
      <c r="F212" s="147">
        <f>(6361573.23)/1000*$F$5</f>
        <v>6361.5732300000009</v>
      </c>
      <c r="G212" s="147">
        <f t="shared" si="7"/>
        <v>6361.5732300000009</v>
      </c>
      <c r="H212" s="2" t="s">
        <v>639</v>
      </c>
      <c r="I212" s="3"/>
    </row>
    <row r="213" spans="1:10" ht="72" x14ac:dyDescent="0.2">
      <c r="A213" s="75" t="s">
        <v>753</v>
      </c>
      <c r="B213" s="94" t="s">
        <v>616</v>
      </c>
      <c r="C213" s="71" t="s">
        <v>619</v>
      </c>
      <c r="D213" s="11" t="s">
        <v>93</v>
      </c>
      <c r="E213" s="11" t="s">
        <v>9</v>
      </c>
      <c r="F213" s="147">
        <f>(5002224)/1000*$F$5</f>
        <v>5002.2240000000002</v>
      </c>
      <c r="G213" s="147">
        <f t="shared" si="7"/>
        <v>5002.2240000000002</v>
      </c>
      <c r="H213" s="2" t="s">
        <v>617</v>
      </c>
      <c r="I213" s="3"/>
      <c r="J213" s="1" t="s">
        <v>618</v>
      </c>
    </row>
    <row r="214" spans="1:10" ht="60" x14ac:dyDescent="0.2">
      <c r="A214" s="17" t="s">
        <v>754</v>
      </c>
      <c r="B214" s="94" t="s">
        <v>794</v>
      </c>
      <c r="C214" s="71" t="s">
        <v>795</v>
      </c>
      <c r="D214" s="11" t="s">
        <v>177</v>
      </c>
      <c r="E214" s="11" t="s">
        <v>8</v>
      </c>
      <c r="F214" s="147">
        <f>(6175000+2850000)/1000*$F$5</f>
        <v>9025</v>
      </c>
      <c r="G214" s="147">
        <f t="shared" si="7"/>
        <v>9025</v>
      </c>
      <c r="H214" s="2" t="s">
        <v>549</v>
      </c>
      <c r="I214" s="3"/>
      <c r="J214" s="62" t="s">
        <v>550</v>
      </c>
    </row>
    <row r="215" spans="1:10" ht="84" x14ac:dyDescent="0.2">
      <c r="A215" s="16" t="s">
        <v>755</v>
      </c>
      <c r="B215" s="125" t="s">
        <v>798</v>
      </c>
      <c r="C215" s="71" t="s">
        <v>555</v>
      </c>
      <c r="D215" s="11" t="s">
        <v>410</v>
      </c>
      <c r="E215" s="11" t="s">
        <v>127</v>
      </c>
      <c r="F215" s="147">
        <f>(2130356+1597705)/1000*$F$5</f>
        <v>3728.0610000000001</v>
      </c>
      <c r="G215" s="147">
        <f t="shared" si="7"/>
        <v>3728.0610000000001</v>
      </c>
      <c r="H215" s="2" t="s">
        <v>553</v>
      </c>
      <c r="I215" s="3"/>
    </row>
    <row r="216" spans="1:10" ht="60" x14ac:dyDescent="0.2">
      <c r="A216" s="16" t="s">
        <v>757</v>
      </c>
      <c r="B216" s="126"/>
      <c r="C216" s="588" t="s">
        <v>554</v>
      </c>
      <c r="D216" s="19" t="s">
        <v>49</v>
      </c>
      <c r="E216" s="19" t="s">
        <v>54</v>
      </c>
      <c r="F216" s="21">
        <f>(946726+686086)/1000*$F$5</f>
        <v>1632.8119999999999</v>
      </c>
      <c r="G216" s="21">
        <f t="shared" si="7"/>
        <v>1632.8119999999999</v>
      </c>
      <c r="H216" s="58" t="s">
        <v>564</v>
      </c>
      <c r="I216" s="59"/>
      <c r="J216" s="62" t="s">
        <v>563</v>
      </c>
    </row>
    <row r="217" spans="1:10" ht="36" x14ac:dyDescent="0.2">
      <c r="A217" s="16" t="s">
        <v>758</v>
      </c>
      <c r="B217" s="126"/>
      <c r="C217" s="589"/>
      <c r="D217" s="19" t="s">
        <v>4</v>
      </c>
      <c r="E217" s="19" t="s">
        <v>5</v>
      </c>
      <c r="F217" s="21">
        <f>(740000+867118)/1000*$F$5</f>
        <v>1607.1179999999999</v>
      </c>
      <c r="G217" s="21">
        <f t="shared" si="7"/>
        <v>1607.1179999999999</v>
      </c>
      <c r="H217" s="58" t="s">
        <v>565</v>
      </c>
      <c r="I217" s="59"/>
      <c r="J217" s="62" t="s">
        <v>620</v>
      </c>
    </row>
    <row r="218" spans="1:10" ht="36" x14ac:dyDescent="0.2">
      <c r="A218" s="16" t="s">
        <v>759</v>
      </c>
      <c r="B218" s="126"/>
      <c r="C218" s="589"/>
      <c r="D218" s="19" t="s">
        <v>137</v>
      </c>
      <c r="E218" s="19" t="s">
        <v>9</v>
      </c>
      <c r="F218" s="21">
        <f>(1509648+1083366)/1000*$F$5</f>
        <v>2593.0140000000001</v>
      </c>
      <c r="G218" s="21">
        <f t="shared" si="7"/>
        <v>2593.0140000000001</v>
      </c>
      <c r="H218" s="58" t="s">
        <v>565</v>
      </c>
      <c r="I218" s="59"/>
      <c r="J218" s="62" t="s">
        <v>621</v>
      </c>
    </row>
    <row r="219" spans="1:10" ht="36" x14ac:dyDescent="0.2">
      <c r="A219" s="16" t="s">
        <v>760</v>
      </c>
      <c r="B219" s="126"/>
      <c r="C219" s="589"/>
      <c r="D219" s="19" t="s">
        <v>508</v>
      </c>
      <c r="E219" s="19" t="s">
        <v>16</v>
      </c>
      <c r="F219" s="21">
        <f>(4608712+1700000)/1000*$F$5</f>
        <v>6308.7120000000004</v>
      </c>
      <c r="G219" s="21">
        <f t="shared" si="7"/>
        <v>6308.7120000000004</v>
      </c>
      <c r="H219" s="58" t="s">
        <v>565</v>
      </c>
      <c r="I219" s="59"/>
      <c r="J219" s="62" t="s">
        <v>623</v>
      </c>
    </row>
    <row r="220" spans="1:10" ht="48" customHeight="1" x14ac:dyDescent="0.2">
      <c r="A220" s="16" t="s">
        <v>761</v>
      </c>
      <c r="B220" s="127"/>
      <c r="C220" s="590"/>
      <c r="D220" s="19" t="s">
        <v>61</v>
      </c>
      <c r="E220" s="19" t="s">
        <v>103</v>
      </c>
      <c r="F220" s="21">
        <f>(4390000074)/1000*$F$5</f>
        <v>4390000.074</v>
      </c>
      <c r="G220" s="21">
        <f t="shared" si="7"/>
        <v>4390000.074</v>
      </c>
      <c r="H220" s="58" t="s">
        <v>756</v>
      </c>
      <c r="I220" s="59"/>
      <c r="J220" s="1" t="s">
        <v>624</v>
      </c>
    </row>
    <row r="221" spans="1:10" ht="60" x14ac:dyDescent="0.2">
      <c r="A221" s="128" t="s">
        <v>762</v>
      </c>
      <c r="B221" s="71" t="s">
        <v>797</v>
      </c>
      <c r="C221" s="71" t="s">
        <v>637</v>
      </c>
      <c r="D221" s="11" t="s">
        <v>141</v>
      </c>
      <c r="E221" s="11" t="s">
        <v>638</v>
      </c>
      <c r="F221" s="111">
        <f>(1240980)/1000*$F$5</f>
        <v>1240.98</v>
      </c>
      <c r="G221" s="111">
        <f t="shared" si="7"/>
        <v>1240.98</v>
      </c>
      <c r="H221" s="2" t="s">
        <v>640</v>
      </c>
      <c r="I221" s="3"/>
      <c r="J221" s="1" t="s">
        <v>641</v>
      </c>
    </row>
    <row r="223" spans="1:10" x14ac:dyDescent="0.2">
      <c r="B223" s="591" t="s">
        <v>796</v>
      </c>
      <c r="C223" s="591"/>
      <c r="D223" s="591"/>
      <c r="E223" s="591"/>
      <c r="F223" s="591"/>
      <c r="G223" s="591"/>
      <c r="H223" s="591"/>
      <c r="I223" s="591"/>
    </row>
    <row r="225" spans="1:1" x14ac:dyDescent="0.2">
      <c r="A225" s="1" t="s">
        <v>806</v>
      </c>
    </row>
  </sheetData>
  <mergeCells count="38">
    <mergeCell ref="B2:I2"/>
    <mergeCell ref="B3:I3"/>
    <mergeCell ref="B4:I4"/>
    <mergeCell ref="A6:A7"/>
    <mergeCell ref="B6:B7"/>
    <mergeCell ref="C6:C7"/>
    <mergeCell ref="D6:E6"/>
    <mergeCell ref="F6:G6"/>
    <mergeCell ref="H6:H7"/>
    <mergeCell ref="I6:I7"/>
    <mergeCell ref="C115:C117"/>
    <mergeCell ref="C9:C21"/>
    <mergeCell ref="C23:C32"/>
    <mergeCell ref="C34:C53"/>
    <mergeCell ref="C54:C55"/>
    <mergeCell ref="C56:C57"/>
    <mergeCell ref="C58:C60"/>
    <mergeCell ref="C62:C68"/>
    <mergeCell ref="C84:C94"/>
    <mergeCell ref="C104:C108"/>
    <mergeCell ref="C110:C111"/>
    <mergeCell ref="C112:C114"/>
    <mergeCell ref="C119:C129"/>
    <mergeCell ref="C130:C139"/>
    <mergeCell ref="C140:C141"/>
    <mergeCell ref="C145:C149"/>
    <mergeCell ref="C151:C152"/>
    <mergeCell ref="C171:C180"/>
    <mergeCell ref="C181:C210"/>
    <mergeCell ref="C216:C220"/>
    <mergeCell ref="B223:I223"/>
    <mergeCell ref="E151:E152"/>
    <mergeCell ref="F151:F152"/>
    <mergeCell ref="G151:G152"/>
    <mergeCell ref="C154:C155"/>
    <mergeCell ref="C163:C164"/>
    <mergeCell ref="C165:C167"/>
    <mergeCell ref="D151:D1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57"/>
  <sheetViews>
    <sheetView showZeros="0" view="pageBreakPreview" topLeftCell="A217" zoomScale="120" zoomScaleNormal="120" zoomScaleSheetLayoutView="120" workbookViewId="0">
      <selection activeCell="D205" sqref="D205"/>
    </sheetView>
  </sheetViews>
  <sheetFormatPr defaultColWidth="9.140625" defaultRowHeight="12" x14ac:dyDescent="0.2"/>
  <cols>
    <col min="1" max="1" width="5.140625" style="1" customWidth="1"/>
    <col min="2" max="2" width="29.5703125" style="1" customWidth="1"/>
    <col min="3" max="3" width="35.7109375" style="1" customWidth="1"/>
    <col min="4" max="4" width="9.85546875" style="185" customWidth="1"/>
    <col min="5" max="5" width="32.5703125" style="136" customWidth="1"/>
    <col min="6" max="6" width="9.140625" style="1" customWidth="1"/>
    <col min="7" max="7" width="10.42578125" style="1" customWidth="1"/>
    <col min="8" max="8" width="12.42578125" style="1" customWidth="1"/>
    <col min="9" max="9" width="11.42578125" style="1" customWidth="1"/>
    <col min="10" max="10" width="38.28515625" style="1" customWidth="1"/>
    <col min="11" max="11" width="8.7109375" style="1" hidden="1" customWidth="1"/>
    <col min="12" max="12" width="20.42578125" style="1" customWidth="1"/>
    <col min="13" max="16384" width="9.140625" style="1"/>
  </cols>
  <sheetData>
    <row r="2" spans="1:12" x14ac:dyDescent="0.2">
      <c r="B2" s="599" t="s">
        <v>39</v>
      </c>
      <c r="C2" s="599"/>
      <c r="D2" s="599"/>
      <c r="E2" s="599"/>
      <c r="F2" s="599"/>
      <c r="G2" s="599"/>
      <c r="H2" s="599"/>
      <c r="I2" s="599"/>
      <c r="J2" s="599"/>
      <c r="K2" s="599"/>
    </row>
    <row r="3" spans="1:12" x14ac:dyDescent="0.2">
      <c r="B3" s="599" t="s">
        <v>40</v>
      </c>
      <c r="C3" s="599"/>
      <c r="D3" s="599"/>
      <c r="E3" s="599"/>
      <c r="F3" s="599"/>
      <c r="G3" s="599"/>
      <c r="H3" s="599"/>
      <c r="I3" s="599"/>
      <c r="J3" s="599"/>
      <c r="K3" s="599"/>
    </row>
    <row r="4" spans="1:12" x14ac:dyDescent="0.2">
      <c r="B4" s="599" t="s">
        <v>41</v>
      </c>
      <c r="C4" s="599"/>
      <c r="D4" s="599"/>
      <c r="E4" s="599"/>
      <c r="F4" s="599"/>
      <c r="G4" s="599"/>
      <c r="H4" s="599"/>
      <c r="I4" s="599"/>
      <c r="J4" s="599"/>
      <c r="K4" s="599"/>
    </row>
    <row r="5" spans="1:12" ht="15.6" customHeight="1" x14ac:dyDescent="0.2">
      <c r="B5" s="8"/>
      <c r="C5" s="8"/>
      <c r="D5" s="169"/>
      <c r="E5" s="134"/>
      <c r="F5" s="8"/>
      <c r="G5" s="8"/>
      <c r="H5" s="10">
        <v>1</v>
      </c>
      <c r="I5" s="8"/>
      <c r="J5" s="8"/>
      <c r="K5" s="8"/>
    </row>
    <row r="6" spans="1:12" ht="25.5" customHeight="1" x14ac:dyDescent="0.2">
      <c r="A6" s="600" t="s">
        <v>65</v>
      </c>
      <c r="B6" s="600" t="s">
        <v>0</v>
      </c>
      <c r="C6" s="602" t="s">
        <v>807</v>
      </c>
      <c r="D6" s="605" t="s">
        <v>808</v>
      </c>
      <c r="E6" s="602" t="s">
        <v>809</v>
      </c>
      <c r="F6" s="604" t="s">
        <v>1</v>
      </c>
      <c r="G6" s="604"/>
      <c r="H6" s="604" t="s">
        <v>43</v>
      </c>
      <c r="I6" s="604"/>
      <c r="J6" s="604" t="s">
        <v>44</v>
      </c>
      <c r="K6" s="604" t="s">
        <v>45</v>
      </c>
    </row>
    <row r="7" spans="1:12" ht="56.45" customHeight="1" x14ac:dyDescent="0.2">
      <c r="A7" s="601"/>
      <c r="B7" s="601"/>
      <c r="C7" s="603"/>
      <c r="D7" s="606"/>
      <c r="E7" s="603"/>
      <c r="F7" s="6" t="s">
        <v>2</v>
      </c>
      <c r="G7" s="22" t="s">
        <v>42</v>
      </c>
      <c r="H7" s="6" t="s">
        <v>3</v>
      </c>
      <c r="I7" s="6" t="s">
        <v>33</v>
      </c>
      <c r="J7" s="604"/>
      <c r="K7" s="604"/>
      <c r="L7" s="1" t="s">
        <v>346</v>
      </c>
    </row>
    <row r="8" spans="1:12" ht="11.45" customHeight="1" x14ac:dyDescent="0.2">
      <c r="A8" s="3">
        <v>1</v>
      </c>
      <c r="B8" s="3">
        <v>2</v>
      </c>
      <c r="C8" s="3">
        <v>3</v>
      </c>
      <c r="D8" s="170"/>
      <c r="E8" s="135"/>
      <c r="F8" s="3">
        <v>4</v>
      </c>
      <c r="G8" s="3">
        <v>5</v>
      </c>
      <c r="H8" s="3">
        <v>6</v>
      </c>
      <c r="I8" s="3">
        <v>7</v>
      </c>
      <c r="J8" s="3">
        <v>8</v>
      </c>
      <c r="K8" s="3">
        <v>9</v>
      </c>
    </row>
    <row r="9" spans="1:12" ht="40.5" customHeight="1" x14ac:dyDescent="0.2">
      <c r="A9" s="154" t="s">
        <v>116</v>
      </c>
      <c r="B9" s="153" t="s">
        <v>834</v>
      </c>
      <c r="C9" s="596" t="s">
        <v>117</v>
      </c>
      <c r="D9" s="171"/>
      <c r="E9" s="118"/>
      <c r="F9" s="18"/>
      <c r="G9" s="18"/>
      <c r="H9" s="20"/>
      <c r="I9" s="20"/>
      <c r="J9" s="26"/>
      <c r="K9" s="14"/>
    </row>
    <row r="10" spans="1:12" ht="60" x14ac:dyDescent="0.2">
      <c r="A10" s="16" t="s">
        <v>66</v>
      </c>
      <c r="B10" s="30" t="s">
        <v>812</v>
      </c>
      <c r="C10" s="597"/>
      <c r="D10" s="172" t="s">
        <v>810</v>
      </c>
      <c r="E10" s="92" t="s">
        <v>833</v>
      </c>
      <c r="F10" s="19" t="s">
        <v>46</v>
      </c>
      <c r="G10" s="19" t="s">
        <v>4</v>
      </c>
      <c r="H10" s="21">
        <f>(20240490)/1000*$H$5</f>
        <v>20240.490000000002</v>
      </c>
      <c r="I10" s="21">
        <f>H10-(53737)/1000*$H$5</f>
        <v>20186.753000000001</v>
      </c>
      <c r="J10" s="27" t="s">
        <v>47</v>
      </c>
      <c r="K10" s="15"/>
    </row>
    <row r="11" spans="1:12" ht="48" x14ac:dyDescent="0.2">
      <c r="A11" s="16" t="s">
        <v>67</v>
      </c>
      <c r="B11" s="30" t="s">
        <v>242</v>
      </c>
      <c r="C11" s="597"/>
      <c r="D11" s="172" t="s">
        <v>811</v>
      </c>
      <c r="E11" s="92" t="s">
        <v>242</v>
      </c>
      <c r="F11" s="19" t="s">
        <v>48</v>
      </c>
      <c r="G11" s="19" t="s">
        <v>52</v>
      </c>
      <c r="H11" s="21">
        <f>(3127000/1.18)/1000*$H$5</f>
        <v>2650</v>
      </c>
      <c r="I11" s="21">
        <f>H11-(0)/1000*$H$5</f>
        <v>2650</v>
      </c>
      <c r="J11" s="27" t="s">
        <v>647</v>
      </c>
      <c r="K11" s="15"/>
    </row>
    <row r="12" spans="1:12" ht="36" x14ac:dyDescent="0.2">
      <c r="A12" s="16" t="s">
        <v>68</v>
      </c>
      <c r="B12" s="30" t="s">
        <v>243</v>
      </c>
      <c r="C12" s="597"/>
      <c r="D12" s="172" t="s">
        <v>813</v>
      </c>
      <c r="E12" s="132" t="s">
        <v>50</v>
      </c>
      <c r="F12" s="19" t="s">
        <v>12</v>
      </c>
      <c r="G12" s="19" t="s">
        <v>49</v>
      </c>
      <c r="H12" s="21">
        <f>(11142291.6/1.18)/1000*$H$5</f>
        <v>9442.6200000000008</v>
      </c>
      <c r="I12" s="21">
        <f>H12-(7388413.6)/1000*$H$5</f>
        <v>2054.2064000000009</v>
      </c>
      <c r="J12" s="27" t="s">
        <v>50</v>
      </c>
      <c r="K12" s="15"/>
    </row>
    <row r="13" spans="1:12" ht="48" x14ac:dyDescent="0.2">
      <c r="A13" s="16" t="s">
        <v>69</v>
      </c>
      <c r="B13" s="30" t="s">
        <v>817</v>
      </c>
      <c r="C13" s="597"/>
      <c r="D13" s="172" t="s">
        <v>815</v>
      </c>
      <c r="E13" s="119" t="s">
        <v>814</v>
      </c>
      <c r="F13" s="19" t="s">
        <v>51</v>
      </c>
      <c r="G13" s="19" t="s">
        <v>52</v>
      </c>
      <c r="H13" s="21">
        <f>(3600000)/1000*$H$5</f>
        <v>3600</v>
      </c>
      <c r="I13" s="21">
        <f t="shared" ref="I13:I27" si="0">H13-(0)/1000*$H$5</f>
        <v>3600</v>
      </c>
      <c r="J13" s="27" t="s">
        <v>53</v>
      </c>
      <c r="K13" s="15"/>
    </row>
    <row r="14" spans="1:12" ht="48" x14ac:dyDescent="0.2">
      <c r="A14" s="16" t="s">
        <v>70</v>
      </c>
      <c r="B14" s="30" t="s">
        <v>816</v>
      </c>
      <c r="C14" s="597"/>
      <c r="D14" s="172" t="s">
        <v>818</v>
      </c>
      <c r="E14" s="119" t="s">
        <v>819</v>
      </c>
      <c r="F14" s="19" t="s">
        <v>54</v>
      </c>
      <c r="G14" s="19" t="s">
        <v>25</v>
      </c>
      <c r="H14" s="21">
        <f>(2765753)/1000*$H$5</f>
        <v>2765.7530000000002</v>
      </c>
      <c r="I14" s="21">
        <f>H14-(401097)/1000*$H$5</f>
        <v>2364.6559999999999</v>
      </c>
      <c r="J14" s="27" t="s">
        <v>55</v>
      </c>
      <c r="K14" s="15"/>
    </row>
    <row r="15" spans="1:12" ht="48" x14ac:dyDescent="0.2">
      <c r="A15" s="16" t="s">
        <v>71</v>
      </c>
      <c r="B15" s="30" t="s">
        <v>244</v>
      </c>
      <c r="C15" s="597"/>
      <c r="D15" s="172" t="s">
        <v>820</v>
      </c>
      <c r="E15" s="132" t="s">
        <v>814</v>
      </c>
      <c r="F15" s="19" t="s">
        <v>56</v>
      </c>
      <c r="G15" s="19" t="s">
        <v>52</v>
      </c>
      <c r="H15" s="21">
        <f>(5000000)/1000*$H$5</f>
        <v>5000</v>
      </c>
      <c r="I15" s="21">
        <f t="shared" si="0"/>
        <v>5000</v>
      </c>
      <c r="J15" s="27" t="s">
        <v>170</v>
      </c>
      <c r="K15" s="15"/>
    </row>
    <row r="16" spans="1:12" ht="54.75" customHeight="1" x14ac:dyDescent="0.2">
      <c r="A16" s="16" t="s">
        <v>72</v>
      </c>
      <c r="B16" s="30" t="s">
        <v>821</v>
      </c>
      <c r="C16" s="597"/>
      <c r="D16" s="172" t="s">
        <v>822</v>
      </c>
      <c r="E16" s="132" t="s">
        <v>819</v>
      </c>
      <c r="F16" s="19" t="s">
        <v>4</v>
      </c>
      <c r="G16" s="19" t="s">
        <v>7</v>
      </c>
      <c r="H16" s="21">
        <f>(5947000)/1000*$H$5</f>
        <v>5947</v>
      </c>
      <c r="I16" s="21">
        <f>H16-(322033.9)/1000*$H$5</f>
        <v>5624.9660999999996</v>
      </c>
      <c r="J16" s="27" t="s">
        <v>57</v>
      </c>
      <c r="K16" s="15"/>
    </row>
    <row r="17" spans="1:11" ht="67.5" customHeight="1" x14ac:dyDescent="0.2">
      <c r="A17" s="16" t="s">
        <v>73</v>
      </c>
      <c r="B17" s="30" t="s">
        <v>823</v>
      </c>
      <c r="C17" s="597"/>
      <c r="D17" s="172" t="s">
        <v>824</v>
      </c>
      <c r="E17" s="132" t="s">
        <v>59</v>
      </c>
      <c r="F17" s="19" t="s">
        <v>58</v>
      </c>
      <c r="G17" s="19" t="s">
        <v>58</v>
      </c>
      <c r="H17" s="21">
        <f>(720000)/1000*$H$5</f>
        <v>720</v>
      </c>
      <c r="I17" s="21">
        <f>H17-(128844)/1000*$H$5</f>
        <v>591.15599999999995</v>
      </c>
      <c r="J17" s="27" t="s">
        <v>59</v>
      </c>
      <c r="K17" s="15"/>
    </row>
    <row r="18" spans="1:11" ht="36" x14ac:dyDescent="0.2">
      <c r="A18" s="16" t="s">
        <v>74</v>
      </c>
      <c r="B18" s="30" t="s">
        <v>825</v>
      </c>
      <c r="C18" s="597"/>
      <c r="D18" s="172" t="s">
        <v>832</v>
      </c>
      <c r="E18" s="132" t="s">
        <v>59</v>
      </c>
      <c r="F18" s="19" t="s">
        <v>60</v>
      </c>
      <c r="G18" s="19" t="s">
        <v>60</v>
      </c>
      <c r="H18" s="21">
        <f>(700000)/1000*$H$5</f>
        <v>700</v>
      </c>
      <c r="I18" s="21">
        <f t="shared" si="0"/>
        <v>700</v>
      </c>
      <c r="J18" s="27" t="s">
        <v>59</v>
      </c>
      <c r="K18" s="15"/>
    </row>
    <row r="19" spans="1:11" ht="36" x14ac:dyDescent="0.2">
      <c r="A19" s="16" t="s">
        <v>75</v>
      </c>
      <c r="B19" s="30" t="s">
        <v>826</v>
      </c>
      <c r="C19" s="597"/>
      <c r="D19" s="172" t="s">
        <v>828</v>
      </c>
      <c r="E19" s="119" t="s">
        <v>59</v>
      </c>
      <c r="F19" s="19" t="s">
        <v>61</v>
      </c>
      <c r="G19" s="19" t="s">
        <v>61</v>
      </c>
      <c r="H19" s="21">
        <f>(720000)/1000*$H$5</f>
        <v>720</v>
      </c>
      <c r="I19" s="21">
        <f t="shared" si="0"/>
        <v>720</v>
      </c>
      <c r="J19" s="27" t="s">
        <v>59</v>
      </c>
      <c r="K19" s="15"/>
    </row>
    <row r="20" spans="1:11" ht="36" x14ac:dyDescent="0.2">
      <c r="A20" s="16" t="s">
        <v>76</v>
      </c>
      <c r="B20" s="30" t="s">
        <v>827</v>
      </c>
      <c r="C20" s="597"/>
      <c r="D20" s="172" t="s">
        <v>829</v>
      </c>
      <c r="E20" s="119" t="s">
        <v>59</v>
      </c>
      <c r="F20" s="19" t="s">
        <v>62</v>
      </c>
      <c r="G20" s="19" t="s">
        <v>62</v>
      </c>
      <c r="H20" s="21">
        <f>(730000)/1000*$H$5</f>
        <v>730</v>
      </c>
      <c r="I20" s="21">
        <f t="shared" si="0"/>
        <v>730</v>
      </c>
      <c r="J20" s="27" t="s">
        <v>59</v>
      </c>
      <c r="K20" s="15"/>
    </row>
    <row r="21" spans="1:11" ht="48" x14ac:dyDescent="0.2">
      <c r="A21" s="16" t="s">
        <v>77</v>
      </c>
      <c r="B21" s="149" t="s">
        <v>245</v>
      </c>
      <c r="C21" s="597"/>
      <c r="D21" s="172" t="s">
        <v>831</v>
      </c>
      <c r="E21" s="119" t="s">
        <v>830</v>
      </c>
      <c r="F21" s="19" t="s">
        <v>16</v>
      </c>
      <c r="G21" s="19" t="s">
        <v>63</v>
      </c>
      <c r="H21" s="21">
        <f>(170917+20177971)/1000*$H$5</f>
        <v>20348.887999999999</v>
      </c>
      <c r="I21" s="21">
        <f>H21-(2286003+6277093)/1000*$H$5</f>
        <v>11785.791999999999</v>
      </c>
      <c r="J21" s="27" t="s">
        <v>64</v>
      </c>
      <c r="K21" s="15"/>
    </row>
    <row r="22" spans="1:11" ht="140.25" customHeight="1" x14ac:dyDescent="0.2">
      <c r="A22" s="16" t="s">
        <v>80</v>
      </c>
      <c r="B22" s="149" t="s">
        <v>853</v>
      </c>
      <c r="C22" s="28" t="s">
        <v>81</v>
      </c>
      <c r="D22" s="173" t="s">
        <v>854</v>
      </c>
      <c r="E22" s="116" t="s">
        <v>79</v>
      </c>
      <c r="F22" s="19" t="s">
        <v>78</v>
      </c>
      <c r="G22" s="19" t="s">
        <v>7</v>
      </c>
      <c r="H22" s="21">
        <f>(3293513)/1000*$H$5</f>
        <v>3293.5129999999999</v>
      </c>
      <c r="I22" s="21">
        <f t="shared" si="0"/>
        <v>3293.5129999999999</v>
      </c>
      <c r="J22" s="27" t="s">
        <v>79</v>
      </c>
      <c r="K22" s="15"/>
    </row>
    <row r="23" spans="1:11" ht="60" x14ac:dyDescent="0.2">
      <c r="A23" s="16" t="s">
        <v>82</v>
      </c>
      <c r="B23" s="30" t="s">
        <v>247</v>
      </c>
      <c r="C23" s="586" t="s">
        <v>83</v>
      </c>
      <c r="D23" s="173" t="s">
        <v>855</v>
      </c>
      <c r="E23" s="142" t="s">
        <v>85</v>
      </c>
      <c r="F23" s="19" t="s">
        <v>84</v>
      </c>
      <c r="G23" s="19" t="s">
        <v>7</v>
      </c>
      <c r="H23" s="21">
        <f>(15724959.7)/1000*$H$5</f>
        <v>15724.959699999999</v>
      </c>
      <c r="I23" s="21">
        <f t="shared" si="0"/>
        <v>15724.959699999999</v>
      </c>
      <c r="J23" s="27" t="s">
        <v>85</v>
      </c>
      <c r="K23" s="15"/>
    </row>
    <row r="24" spans="1:11" ht="96" x14ac:dyDescent="0.2">
      <c r="A24" s="16" t="s">
        <v>87</v>
      </c>
      <c r="B24" s="30" t="s">
        <v>247</v>
      </c>
      <c r="C24" s="586"/>
      <c r="D24" s="173" t="s">
        <v>856</v>
      </c>
      <c r="E24" s="142" t="s">
        <v>860</v>
      </c>
      <c r="F24" s="19" t="s">
        <v>86</v>
      </c>
      <c r="G24" s="19" t="s">
        <v>22</v>
      </c>
      <c r="H24" s="21">
        <f>(13589383)/1000*$H$5</f>
        <v>13589.383</v>
      </c>
      <c r="I24" s="21">
        <f t="shared" si="0"/>
        <v>13589.383</v>
      </c>
      <c r="J24" s="27" t="s">
        <v>109</v>
      </c>
      <c r="K24" s="15"/>
    </row>
    <row r="25" spans="1:11" ht="72" x14ac:dyDescent="0.2">
      <c r="A25" s="16" t="s">
        <v>88</v>
      </c>
      <c r="B25" s="30" t="s">
        <v>118</v>
      </c>
      <c r="C25" s="586"/>
      <c r="D25" s="173" t="s">
        <v>857</v>
      </c>
      <c r="E25" s="142" t="s">
        <v>861</v>
      </c>
      <c r="F25" s="19" t="s">
        <v>91</v>
      </c>
      <c r="G25" s="24" t="s">
        <v>873</v>
      </c>
      <c r="H25" s="21">
        <f>(9015373)/1000*$H$5</f>
        <v>9015.3729999999996</v>
      </c>
      <c r="I25" s="21">
        <f t="shared" si="0"/>
        <v>9015.3729999999996</v>
      </c>
      <c r="J25" s="27" t="s">
        <v>110</v>
      </c>
      <c r="K25" s="15"/>
    </row>
    <row r="26" spans="1:11" ht="48" x14ac:dyDescent="0.2">
      <c r="A26" s="16" t="s">
        <v>89</v>
      </c>
      <c r="B26" s="30" t="s">
        <v>247</v>
      </c>
      <c r="C26" s="586"/>
      <c r="D26" s="173" t="s">
        <v>859</v>
      </c>
      <c r="E26" s="142" t="s">
        <v>858</v>
      </c>
      <c r="F26" s="19" t="s">
        <v>93</v>
      </c>
      <c r="G26" s="24" t="s">
        <v>872</v>
      </c>
      <c r="H26" s="21">
        <f>(21058242)/1000*$H$5</f>
        <v>21058.241999999998</v>
      </c>
      <c r="I26" s="21">
        <f t="shared" si="0"/>
        <v>21058.241999999998</v>
      </c>
      <c r="J26" s="27" t="s">
        <v>108</v>
      </c>
      <c r="K26" s="15"/>
    </row>
    <row r="27" spans="1:11" ht="60" x14ac:dyDescent="0.2">
      <c r="A27" s="16" t="s">
        <v>90</v>
      </c>
      <c r="B27" s="30" t="s">
        <v>247</v>
      </c>
      <c r="C27" s="586"/>
      <c r="D27" s="173" t="s">
        <v>864</v>
      </c>
      <c r="E27" s="142" t="s">
        <v>862</v>
      </c>
      <c r="F27" s="19" t="s">
        <v>60</v>
      </c>
      <c r="G27" s="19" t="s">
        <v>95</v>
      </c>
      <c r="H27" s="21">
        <f>(2279276)/1000*$H$5</f>
        <v>2279.2759999999998</v>
      </c>
      <c r="I27" s="21">
        <f t="shared" si="0"/>
        <v>2279.2759999999998</v>
      </c>
      <c r="J27" s="27" t="s">
        <v>111</v>
      </c>
      <c r="K27" s="15"/>
    </row>
    <row r="28" spans="1:11" ht="60" x14ac:dyDescent="0.2">
      <c r="A28" s="16" t="s">
        <v>96</v>
      </c>
      <c r="B28" s="30" t="s">
        <v>247</v>
      </c>
      <c r="C28" s="586"/>
      <c r="D28" s="173" t="s">
        <v>863</v>
      </c>
      <c r="E28" s="142" t="s">
        <v>865</v>
      </c>
      <c r="F28" s="19" t="s">
        <v>95</v>
      </c>
      <c r="G28" s="19" t="s">
        <v>9</v>
      </c>
      <c r="H28" s="21">
        <f>(1136955)/1000*$H$5</f>
        <v>1136.9549999999999</v>
      </c>
      <c r="I28" s="21">
        <f t="shared" ref="I28:I37" si="1">H28-(0)/1000*$H$5</f>
        <v>1136.9549999999999</v>
      </c>
      <c r="J28" s="27" t="s">
        <v>112</v>
      </c>
      <c r="K28" s="15"/>
    </row>
    <row r="29" spans="1:11" ht="84" customHeight="1" x14ac:dyDescent="0.2">
      <c r="A29" s="16" t="s">
        <v>97</v>
      </c>
      <c r="B29" s="30" t="s">
        <v>247</v>
      </c>
      <c r="C29" s="586"/>
      <c r="D29" s="173" t="s">
        <v>866</v>
      </c>
      <c r="E29" s="142" t="s">
        <v>867</v>
      </c>
      <c r="F29" s="19" t="s">
        <v>101</v>
      </c>
      <c r="G29" s="24" t="s">
        <v>638</v>
      </c>
      <c r="H29" s="21">
        <f>(8510364)/1000*$H$5</f>
        <v>8510.3639999999996</v>
      </c>
      <c r="I29" s="21">
        <f t="shared" si="1"/>
        <v>8510.3639999999996</v>
      </c>
      <c r="J29" s="27" t="s">
        <v>113</v>
      </c>
      <c r="K29" s="15"/>
    </row>
    <row r="30" spans="1:11" ht="41.25" customHeight="1" x14ac:dyDescent="0.2">
      <c r="A30" s="16" t="s">
        <v>98</v>
      </c>
      <c r="B30" s="30" t="s">
        <v>247</v>
      </c>
      <c r="C30" s="586"/>
      <c r="D30" s="173" t="s">
        <v>868</v>
      </c>
      <c r="E30" s="142" t="s">
        <v>869</v>
      </c>
      <c r="F30" s="19" t="s">
        <v>103</v>
      </c>
      <c r="G30" s="19" t="s">
        <v>104</v>
      </c>
      <c r="H30" s="21">
        <f>(2290335)/1000*$H$5</f>
        <v>2290.335</v>
      </c>
      <c r="I30" s="21">
        <f t="shared" si="1"/>
        <v>2290.335</v>
      </c>
      <c r="J30" s="27" t="s">
        <v>105</v>
      </c>
      <c r="K30" s="15"/>
    </row>
    <row r="31" spans="1:11" ht="96" x14ac:dyDescent="0.2">
      <c r="A31" s="16" t="s">
        <v>99</v>
      </c>
      <c r="B31" s="30" t="s">
        <v>247</v>
      </c>
      <c r="C31" s="586"/>
      <c r="D31" s="173" t="s">
        <v>871</v>
      </c>
      <c r="E31" s="142" t="s">
        <v>870</v>
      </c>
      <c r="F31" s="19" t="s">
        <v>104</v>
      </c>
      <c r="G31" s="24" t="s">
        <v>874</v>
      </c>
      <c r="H31" s="21">
        <f>(7629477)/1000*$H$5</f>
        <v>7629.4769999999999</v>
      </c>
      <c r="I31" s="21">
        <f t="shared" si="1"/>
        <v>7629.4769999999999</v>
      </c>
      <c r="J31" s="27" t="s">
        <v>114</v>
      </c>
      <c r="K31" s="15"/>
    </row>
    <row r="32" spans="1:11" ht="60" x14ac:dyDescent="0.2">
      <c r="A32" s="16" t="s">
        <v>100</v>
      </c>
      <c r="B32" s="30" t="s">
        <v>247</v>
      </c>
      <c r="C32" s="586"/>
      <c r="D32" s="173" t="s">
        <v>877</v>
      </c>
      <c r="E32" s="142" t="s">
        <v>876</v>
      </c>
      <c r="F32" s="19" t="s">
        <v>16</v>
      </c>
      <c r="G32" s="19" t="s">
        <v>107</v>
      </c>
      <c r="H32" s="21">
        <f>(1831211)/1000*$H$5</f>
        <v>1831.211</v>
      </c>
      <c r="I32" s="21">
        <f t="shared" si="1"/>
        <v>1831.211</v>
      </c>
      <c r="J32" s="27" t="s">
        <v>875</v>
      </c>
      <c r="K32" s="15"/>
    </row>
    <row r="33" spans="1:11" ht="156" x14ac:dyDescent="0.2">
      <c r="A33" s="17" t="s">
        <v>149</v>
      </c>
      <c r="B33" s="33" t="s">
        <v>146</v>
      </c>
      <c r="C33" s="29" t="s">
        <v>648</v>
      </c>
      <c r="D33" s="174" t="s">
        <v>879</v>
      </c>
      <c r="E33" s="117" t="s">
        <v>878</v>
      </c>
      <c r="F33" s="12" t="s">
        <v>124</v>
      </c>
      <c r="G33" s="12" t="s">
        <v>56</v>
      </c>
      <c r="H33" s="13">
        <f>(407667.34/1.18)/1000*$H$5</f>
        <v>345.48079661016953</v>
      </c>
      <c r="I33" s="13">
        <f>H33</f>
        <v>345.48079661016953</v>
      </c>
      <c r="J33" s="23" t="s">
        <v>125</v>
      </c>
      <c r="K33" s="32"/>
    </row>
    <row r="34" spans="1:11" ht="50.25" customHeight="1" x14ac:dyDescent="0.2">
      <c r="A34" s="152" t="s">
        <v>148</v>
      </c>
      <c r="B34" s="153" t="s">
        <v>249</v>
      </c>
      <c r="C34" s="585" t="s">
        <v>147</v>
      </c>
      <c r="D34" s="175"/>
      <c r="E34" s="115"/>
      <c r="F34" s="18"/>
      <c r="G34" s="18"/>
      <c r="H34" s="20">
        <f>(0)/1000*$H$5</f>
        <v>0</v>
      </c>
      <c r="I34" s="20">
        <f t="shared" si="1"/>
        <v>0</v>
      </c>
      <c r="J34" s="26"/>
      <c r="K34" s="35"/>
    </row>
    <row r="35" spans="1:11" ht="64.5" customHeight="1" x14ac:dyDescent="0.2">
      <c r="A35" s="16" t="s">
        <v>122</v>
      </c>
      <c r="B35" s="155" t="s">
        <v>248</v>
      </c>
      <c r="C35" s="586"/>
      <c r="D35" s="173" t="s">
        <v>880</v>
      </c>
      <c r="E35" s="116" t="s">
        <v>128</v>
      </c>
      <c r="F35" s="19" t="s">
        <v>119</v>
      </c>
      <c r="G35" s="19" t="s">
        <v>119</v>
      </c>
      <c r="H35" s="21">
        <f>(448400/1.18)/1000*$H$5</f>
        <v>380</v>
      </c>
      <c r="I35" s="21">
        <f t="shared" si="1"/>
        <v>380</v>
      </c>
      <c r="J35" s="27" t="s">
        <v>120</v>
      </c>
      <c r="K35" s="34"/>
    </row>
    <row r="36" spans="1:11" ht="57.75" customHeight="1" x14ac:dyDescent="0.2">
      <c r="A36" s="16" t="s">
        <v>123</v>
      </c>
      <c r="B36" s="30" t="s">
        <v>881</v>
      </c>
      <c r="C36" s="586"/>
      <c r="D36" s="173" t="s">
        <v>882</v>
      </c>
      <c r="E36" s="142" t="s">
        <v>171</v>
      </c>
      <c r="F36" s="19" t="s">
        <v>13</v>
      </c>
      <c r="G36" s="19" t="s">
        <v>8</v>
      </c>
      <c r="H36" s="21">
        <f>(2300000)/1000*$H$5</f>
        <v>2300</v>
      </c>
      <c r="I36" s="21">
        <f t="shared" si="1"/>
        <v>2300</v>
      </c>
      <c r="J36" s="27" t="s">
        <v>171</v>
      </c>
      <c r="K36" s="34"/>
    </row>
    <row r="37" spans="1:11" ht="66.75" customHeight="1" x14ac:dyDescent="0.2">
      <c r="A37" s="16" t="s">
        <v>150</v>
      </c>
      <c r="B37" s="30" t="s">
        <v>251</v>
      </c>
      <c r="C37" s="586"/>
      <c r="D37" s="173" t="s">
        <v>883</v>
      </c>
      <c r="E37" s="142" t="s">
        <v>884</v>
      </c>
      <c r="F37" s="19" t="s">
        <v>126</v>
      </c>
      <c r="G37" s="19" t="s">
        <v>127</v>
      </c>
      <c r="H37" s="21">
        <f>(650000)/1000*$H$5</f>
        <v>650</v>
      </c>
      <c r="I37" s="21">
        <f t="shared" si="1"/>
        <v>650</v>
      </c>
      <c r="J37" s="27" t="s">
        <v>121</v>
      </c>
      <c r="K37" s="34"/>
    </row>
    <row r="38" spans="1:11" ht="69" customHeight="1" x14ac:dyDescent="0.2">
      <c r="A38" s="16" t="s">
        <v>151</v>
      </c>
      <c r="B38" s="30" t="s">
        <v>252</v>
      </c>
      <c r="C38" s="586"/>
      <c r="D38" s="173" t="s">
        <v>885</v>
      </c>
      <c r="E38" s="142" t="s">
        <v>884</v>
      </c>
      <c r="F38" s="19" t="s">
        <v>51</v>
      </c>
      <c r="G38" s="19" t="s">
        <v>56</v>
      </c>
      <c r="H38" s="21">
        <f>(2300000)/1000*$H$5</f>
        <v>2300</v>
      </c>
      <c r="I38" s="21">
        <f>H38-(61506)/1000*$H$5</f>
        <v>2238.4940000000001</v>
      </c>
      <c r="J38" s="27" t="s">
        <v>121</v>
      </c>
      <c r="K38" s="34"/>
    </row>
    <row r="39" spans="1:11" ht="69" customHeight="1" x14ac:dyDescent="0.2">
      <c r="A39" s="16" t="s">
        <v>152</v>
      </c>
      <c r="B39" s="30" t="s">
        <v>253</v>
      </c>
      <c r="C39" s="586"/>
      <c r="D39" s="173" t="s">
        <v>886</v>
      </c>
      <c r="E39" s="142" t="s">
        <v>884</v>
      </c>
      <c r="F39" s="19" t="s">
        <v>51</v>
      </c>
      <c r="G39" s="19" t="s">
        <v>124</v>
      </c>
      <c r="H39" s="21">
        <f>(2300000)/1000*$H$5</f>
        <v>2300</v>
      </c>
      <c r="I39" s="21">
        <f>H39-(0)/1000*$H$5</f>
        <v>2300</v>
      </c>
      <c r="J39" s="27" t="s">
        <v>172</v>
      </c>
      <c r="K39" s="34"/>
    </row>
    <row r="40" spans="1:11" ht="60" x14ac:dyDescent="0.2">
      <c r="A40" s="16" t="s">
        <v>153</v>
      </c>
      <c r="B40" s="155" t="s">
        <v>890</v>
      </c>
      <c r="C40" s="586"/>
      <c r="D40" s="173" t="s">
        <v>887</v>
      </c>
      <c r="E40" s="142" t="s">
        <v>128</v>
      </c>
      <c r="F40" s="19" t="s">
        <v>124</v>
      </c>
      <c r="G40" s="19" t="s">
        <v>129</v>
      </c>
      <c r="H40" s="21">
        <f>(1416000/1.18)/1000*$H$5</f>
        <v>1200</v>
      </c>
      <c r="I40" s="21">
        <f>H40-(0)/1000*$H$5</f>
        <v>1200</v>
      </c>
      <c r="J40" s="27" t="s">
        <v>128</v>
      </c>
      <c r="K40" s="34"/>
    </row>
    <row r="41" spans="1:11" ht="78" customHeight="1" x14ac:dyDescent="0.2">
      <c r="A41" s="16" t="s">
        <v>154</v>
      </c>
      <c r="B41" s="30" t="s">
        <v>254</v>
      </c>
      <c r="C41" s="586"/>
      <c r="D41" s="173" t="s">
        <v>888</v>
      </c>
      <c r="E41" s="142" t="s">
        <v>130</v>
      </c>
      <c r="F41" s="19" t="s">
        <v>49</v>
      </c>
      <c r="G41" s="19" t="s">
        <v>25</v>
      </c>
      <c r="H41" s="21">
        <f>(4600000)/1000*$H$5</f>
        <v>4600</v>
      </c>
      <c r="I41" s="21">
        <f>H41-(32790)/1000*$H$5</f>
        <v>4567.21</v>
      </c>
      <c r="J41" s="27" t="s">
        <v>130</v>
      </c>
      <c r="K41" s="34"/>
    </row>
    <row r="42" spans="1:11" ht="40.5" customHeight="1" x14ac:dyDescent="0.2">
      <c r="A42" s="16" t="s">
        <v>155</v>
      </c>
      <c r="B42" s="30" t="s">
        <v>255</v>
      </c>
      <c r="C42" s="586"/>
      <c r="D42" s="173" t="s">
        <v>889</v>
      </c>
      <c r="E42" s="142" t="s">
        <v>131</v>
      </c>
      <c r="F42" s="19" t="s">
        <v>56</v>
      </c>
      <c r="G42" s="19" t="s">
        <v>7</v>
      </c>
      <c r="H42" s="21">
        <f>(1896068)/1000*$H$5</f>
        <v>1896.068</v>
      </c>
      <c r="I42" s="21">
        <f>H42-(510000)/1000*$H$5</f>
        <v>1386.068</v>
      </c>
      <c r="J42" s="27" t="s">
        <v>131</v>
      </c>
      <c r="K42" s="34"/>
    </row>
    <row r="43" spans="1:11" ht="66" customHeight="1" x14ac:dyDescent="0.2">
      <c r="A43" s="16" t="s">
        <v>156</v>
      </c>
      <c r="B43" s="155" t="s">
        <v>892</v>
      </c>
      <c r="C43" s="586"/>
      <c r="D43" s="173" t="s">
        <v>894</v>
      </c>
      <c r="E43" s="142" t="s">
        <v>128</v>
      </c>
      <c r="F43" s="19" t="s">
        <v>132</v>
      </c>
      <c r="G43" s="19" t="s">
        <v>14</v>
      </c>
      <c r="H43" s="21">
        <f>(1420000)/1000*$H$5</f>
        <v>1420</v>
      </c>
      <c r="I43" s="21">
        <f>H43-(0)/1000*$H$5</f>
        <v>1420</v>
      </c>
      <c r="J43" s="27" t="s">
        <v>128</v>
      </c>
      <c r="K43" s="34"/>
    </row>
    <row r="44" spans="1:11" ht="48" x14ac:dyDescent="0.2">
      <c r="A44" s="16" t="s">
        <v>157</v>
      </c>
      <c r="B44" s="30" t="s">
        <v>895</v>
      </c>
      <c r="C44" s="586"/>
      <c r="D44" s="173" t="s">
        <v>896</v>
      </c>
      <c r="E44" s="142" t="s">
        <v>133</v>
      </c>
      <c r="F44" s="19" t="s">
        <v>4</v>
      </c>
      <c r="G44" s="24" t="s">
        <v>649</v>
      </c>
      <c r="H44" s="21">
        <f>(42143938)/1000*$H$5</f>
        <v>42143.938000000002</v>
      </c>
      <c r="I44" s="21">
        <f>H44-(27790161.6)/1000*$H$5</f>
        <v>14353.776399999999</v>
      </c>
      <c r="J44" s="27" t="s">
        <v>133</v>
      </c>
      <c r="K44" s="34"/>
    </row>
    <row r="45" spans="1:11" ht="60" x14ac:dyDescent="0.2">
      <c r="A45" s="16" t="s">
        <v>158</v>
      </c>
      <c r="B45" s="30" t="s">
        <v>256</v>
      </c>
      <c r="C45" s="586"/>
      <c r="D45" s="173" t="s">
        <v>897</v>
      </c>
      <c r="E45" s="151" t="s">
        <v>134</v>
      </c>
      <c r="F45" s="19" t="s">
        <v>4</v>
      </c>
      <c r="G45" s="19" t="s">
        <v>86</v>
      </c>
      <c r="H45" s="21">
        <f>(5583000)/1000*$H$5</f>
        <v>5583</v>
      </c>
      <c r="I45" s="21">
        <f>H45-(901966)/1000*$H$5</f>
        <v>4681.0339999999997</v>
      </c>
      <c r="J45" s="27" t="s">
        <v>134</v>
      </c>
      <c r="K45" s="34"/>
    </row>
    <row r="46" spans="1:11" ht="48" x14ac:dyDescent="0.2">
      <c r="A46" s="16" t="s">
        <v>159</v>
      </c>
      <c r="B46" s="30" t="s">
        <v>257</v>
      </c>
      <c r="C46" s="586"/>
      <c r="D46" s="173" t="s">
        <v>898</v>
      </c>
      <c r="E46" s="151" t="s">
        <v>135</v>
      </c>
      <c r="F46" s="19" t="s">
        <v>14</v>
      </c>
      <c r="G46" s="19" t="s">
        <v>7</v>
      </c>
      <c r="H46" s="21">
        <f>(7800000)/1000*$H$5</f>
        <v>7800</v>
      </c>
      <c r="I46" s="21">
        <f>H46-(886884)/1000*$H$5</f>
        <v>6913.116</v>
      </c>
      <c r="J46" s="27" t="s">
        <v>135</v>
      </c>
      <c r="K46" s="34"/>
    </row>
    <row r="47" spans="1:11" ht="39.75" customHeight="1" x14ac:dyDescent="0.2">
      <c r="A47" s="16" t="s">
        <v>160</v>
      </c>
      <c r="B47" s="30" t="s">
        <v>258</v>
      </c>
      <c r="C47" s="586"/>
      <c r="D47" s="173" t="s">
        <v>899</v>
      </c>
      <c r="E47" s="151" t="s">
        <v>136</v>
      </c>
      <c r="F47" s="19" t="s">
        <v>58</v>
      </c>
      <c r="G47" s="19" t="s">
        <v>9</v>
      </c>
      <c r="H47" s="21">
        <f>(5200000)/1000*$H$5</f>
        <v>5200</v>
      </c>
      <c r="I47" s="21">
        <f>H47-(0)/1000*$H$5</f>
        <v>5200</v>
      </c>
      <c r="J47" s="27" t="s">
        <v>136</v>
      </c>
      <c r="K47" s="34"/>
    </row>
    <row r="48" spans="1:11" ht="40.5" customHeight="1" x14ac:dyDescent="0.2">
      <c r="A48" s="16" t="s">
        <v>161</v>
      </c>
      <c r="B48" s="155" t="s">
        <v>259</v>
      </c>
      <c r="C48" s="586"/>
      <c r="D48" s="173" t="s">
        <v>900</v>
      </c>
      <c r="E48" s="151" t="s">
        <v>128</v>
      </c>
      <c r="F48" s="19" t="s">
        <v>93</v>
      </c>
      <c r="G48" s="19" t="s">
        <v>137</v>
      </c>
      <c r="H48" s="21">
        <f>(700000)/1000*$H$5</f>
        <v>700</v>
      </c>
      <c r="I48" s="21">
        <f>H48-(370000)/1000*$H$5</f>
        <v>330</v>
      </c>
      <c r="J48" s="27" t="s">
        <v>128</v>
      </c>
      <c r="K48" s="34"/>
    </row>
    <row r="49" spans="1:12" ht="60" x14ac:dyDescent="0.2">
      <c r="A49" s="16" t="s">
        <v>162</v>
      </c>
      <c r="B49" s="155" t="s">
        <v>260</v>
      </c>
      <c r="C49" s="586"/>
      <c r="D49" s="173" t="s">
        <v>901</v>
      </c>
      <c r="E49" s="151" t="s">
        <v>128</v>
      </c>
      <c r="F49" s="19" t="s">
        <v>137</v>
      </c>
      <c r="G49" s="19" t="s">
        <v>95</v>
      </c>
      <c r="H49" s="21">
        <f>(1050000)/1000*$H$5</f>
        <v>1050</v>
      </c>
      <c r="I49" s="21">
        <f t="shared" ref="I49:I57" si="2">H49-(0)/1000*$H$5</f>
        <v>1050</v>
      </c>
      <c r="J49" s="27" t="s">
        <v>128</v>
      </c>
      <c r="K49" s="34"/>
    </row>
    <row r="50" spans="1:12" ht="45" customHeight="1" x14ac:dyDescent="0.2">
      <c r="A50" s="16" t="s">
        <v>163</v>
      </c>
      <c r="B50" s="30" t="s">
        <v>902</v>
      </c>
      <c r="C50" s="586"/>
      <c r="D50" s="173" t="s">
        <v>903</v>
      </c>
      <c r="E50" s="116" t="s">
        <v>904</v>
      </c>
      <c r="F50" s="19" t="s">
        <v>91</v>
      </c>
      <c r="G50" s="19" t="s">
        <v>95</v>
      </c>
      <c r="H50" s="21">
        <f>(3066113)/1000*$H$5</f>
        <v>3066.1129999999998</v>
      </c>
      <c r="I50" s="21">
        <f t="shared" si="2"/>
        <v>3066.1129999999998</v>
      </c>
      <c r="J50" s="27" t="s">
        <v>138</v>
      </c>
      <c r="K50" s="34"/>
    </row>
    <row r="51" spans="1:12" ht="50.25" customHeight="1" x14ac:dyDescent="0.2">
      <c r="A51" s="16" t="s">
        <v>164</v>
      </c>
      <c r="B51" s="30" t="s">
        <v>905</v>
      </c>
      <c r="C51" s="586"/>
      <c r="D51" s="173" t="s">
        <v>906</v>
      </c>
      <c r="E51" s="116" t="s">
        <v>144</v>
      </c>
      <c r="F51" s="19" t="s">
        <v>60</v>
      </c>
      <c r="G51" s="19" t="s">
        <v>139</v>
      </c>
      <c r="H51" s="21">
        <f>(5238644)/1000*$H$5</f>
        <v>5238.6440000000002</v>
      </c>
      <c r="I51" s="21">
        <f t="shared" si="2"/>
        <v>5238.6440000000002</v>
      </c>
      <c r="J51" s="27" t="s">
        <v>140</v>
      </c>
      <c r="K51" s="34"/>
    </row>
    <row r="52" spans="1:12" ht="50.25" customHeight="1" x14ac:dyDescent="0.2">
      <c r="A52" s="16" t="s">
        <v>165</v>
      </c>
      <c r="B52" s="30" t="s">
        <v>907</v>
      </c>
      <c r="C52" s="586"/>
      <c r="D52" s="173" t="s">
        <v>908</v>
      </c>
      <c r="E52" s="150" t="s">
        <v>144</v>
      </c>
      <c r="F52" s="19" t="s">
        <v>95</v>
      </c>
      <c r="G52" s="19" t="s">
        <v>9</v>
      </c>
      <c r="H52" s="21">
        <f>(2995000)/1000*$H$5</f>
        <v>2995</v>
      </c>
      <c r="I52" s="21">
        <f t="shared" si="2"/>
        <v>2995</v>
      </c>
      <c r="J52" s="27" t="s">
        <v>140</v>
      </c>
      <c r="K52" s="34"/>
    </row>
    <row r="53" spans="1:12" ht="40.5" customHeight="1" x14ac:dyDescent="0.2">
      <c r="A53" s="16" t="s">
        <v>166</v>
      </c>
      <c r="B53" s="30" t="s">
        <v>263</v>
      </c>
      <c r="C53" s="586"/>
      <c r="D53" s="173" t="s">
        <v>909</v>
      </c>
      <c r="E53" s="151" t="s">
        <v>143</v>
      </c>
      <c r="F53" s="19" t="s">
        <v>141</v>
      </c>
      <c r="G53" s="24" t="s">
        <v>910</v>
      </c>
      <c r="H53" s="21">
        <f>(4930000)/1000*$H$5</f>
        <v>4930</v>
      </c>
      <c r="I53" s="21">
        <f t="shared" si="2"/>
        <v>4930</v>
      </c>
      <c r="J53" s="27" t="s">
        <v>143</v>
      </c>
      <c r="K53" s="34"/>
    </row>
    <row r="54" spans="1:12" ht="72.75" customHeight="1" x14ac:dyDescent="0.2">
      <c r="A54" s="16" t="s">
        <v>167</v>
      </c>
      <c r="B54" s="30" t="s">
        <v>264</v>
      </c>
      <c r="C54" s="586" t="s">
        <v>763</v>
      </c>
      <c r="D54" s="173" t="s">
        <v>914</v>
      </c>
      <c r="E54" s="151" t="s">
        <v>144</v>
      </c>
      <c r="F54" s="19" t="s">
        <v>86</v>
      </c>
      <c r="G54" s="19" t="s">
        <v>95</v>
      </c>
      <c r="H54" s="21">
        <f>(3048480)/1000*$H$5</f>
        <v>3048.48</v>
      </c>
      <c r="I54" s="21">
        <f t="shared" si="2"/>
        <v>3048.48</v>
      </c>
      <c r="J54" s="27" t="s">
        <v>144</v>
      </c>
      <c r="K54" s="34"/>
    </row>
    <row r="55" spans="1:12" ht="93.75" customHeight="1" x14ac:dyDescent="0.2">
      <c r="A55" s="16" t="s">
        <v>168</v>
      </c>
      <c r="B55" s="37" t="s">
        <v>265</v>
      </c>
      <c r="C55" s="586"/>
      <c r="D55" s="173" t="s">
        <v>916</v>
      </c>
      <c r="E55" s="151" t="s">
        <v>143</v>
      </c>
      <c r="F55" s="19" t="s">
        <v>103</v>
      </c>
      <c r="G55" s="24" t="s">
        <v>915</v>
      </c>
      <c r="H55" s="21">
        <f>(3942141)/1000*$H$5</f>
        <v>3942.1410000000001</v>
      </c>
      <c r="I55" s="21">
        <f t="shared" si="2"/>
        <v>3942.1410000000001</v>
      </c>
      <c r="J55" s="40" t="s">
        <v>143</v>
      </c>
      <c r="K55" s="34"/>
    </row>
    <row r="56" spans="1:12" ht="77.25" customHeight="1" x14ac:dyDescent="0.2">
      <c r="A56" s="16" t="s">
        <v>297</v>
      </c>
      <c r="B56" s="51" t="s">
        <v>296</v>
      </c>
      <c r="C56" s="586" t="s">
        <v>650</v>
      </c>
      <c r="D56" s="173" t="s">
        <v>911</v>
      </c>
      <c r="E56" s="151" t="s">
        <v>144</v>
      </c>
      <c r="F56" s="19" t="s">
        <v>13</v>
      </c>
      <c r="G56" s="24" t="s">
        <v>48</v>
      </c>
      <c r="H56" s="21">
        <f>(1397275.21)/1000*$H$5</f>
        <v>1397.27521</v>
      </c>
      <c r="I56" s="21">
        <f t="shared" si="2"/>
        <v>1397.27521</v>
      </c>
      <c r="J56" s="54" t="s">
        <v>144</v>
      </c>
      <c r="K56" s="34"/>
    </row>
    <row r="57" spans="1:12" ht="90" customHeight="1" x14ac:dyDescent="0.2">
      <c r="A57" s="16" t="s">
        <v>306</v>
      </c>
      <c r="B57" s="51" t="s">
        <v>913</v>
      </c>
      <c r="C57" s="587"/>
      <c r="D57" s="173" t="s">
        <v>912</v>
      </c>
      <c r="E57" s="151" t="s">
        <v>144</v>
      </c>
      <c r="F57" s="19" t="s">
        <v>78</v>
      </c>
      <c r="G57" s="24" t="s">
        <v>52</v>
      </c>
      <c r="H57" s="21">
        <f>(1460000)/1000*$H$5</f>
        <v>1460</v>
      </c>
      <c r="I57" s="21">
        <f t="shared" si="2"/>
        <v>1460</v>
      </c>
      <c r="J57" s="54" t="s">
        <v>144</v>
      </c>
      <c r="K57" s="34"/>
    </row>
    <row r="58" spans="1:12" ht="48.75" customHeight="1" x14ac:dyDescent="0.2">
      <c r="A58" s="157" t="s">
        <v>186</v>
      </c>
      <c r="B58" s="153" t="s">
        <v>799</v>
      </c>
      <c r="C58" s="585" t="s">
        <v>333</v>
      </c>
      <c r="D58" s="175"/>
      <c r="E58" s="115"/>
      <c r="F58" s="18"/>
      <c r="G58" s="46"/>
      <c r="H58" s="20"/>
      <c r="I58" s="20"/>
      <c r="J58" s="53"/>
      <c r="K58" s="35"/>
    </row>
    <row r="59" spans="1:12" ht="80.25" customHeight="1" x14ac:dyDescent="0.2">
      <c r="A59" s="16" t="s">
        <v>173</v>
      </c>
      <c r="B59" s="37" t="s">
        <v>919</v>
      </c>
      <c r="C59" s="586"/>
      <c r="D59" s="173" t="s">
        <v>918</v>
      </c>
      <c r="E59" s="156" t="s">
        <v>184</v>
      </c>
      <c r="F59" s="19" t="s">
        <v>25</v>
      </c>
      <c r="G59" s="24" t="s">
        <v>86</v>
      </c>
      <c r="H59" s="21">
        <f>(5990000)/1000*$H$5</f>
        <v>5990</v>
      </c>
      <c r="I59" s="21">
        <f>H59-(2790000)/1000*$H$5</f>
        <v>3200</v>
      </c>
      <c r="J59" s="54" t="s">
        <v>184</v>
      </c>
      <c r="K59" s="34"/>
    </row>
    <row r="60" spans="1:12" ht="72" x14ac:dyDescent="0.2">
      <c r="A60" s="16" t="s">
        <v>187</v>
      </c>
      <c r="B60" s="92" t="s">
        <v>921</v>
      </c>
      <c r="C60" s="586"/>
      <c r="D60" s="173" t="s">
        <v>920</v>
      </c>
      <c r="E60" s="156" t="s">
        <v>185</v>
      </c>
      <c r="F60" s="24" t="s">
        <v>86</v>
      </c>
      <c r="G60" s="24" t="s">
        <v>139</v>
      </c>
      <c r="H60" s="21">
        <f>(6100000)/1000*$H$5</f>
        <v>6100</v>
      </c>
      <c r="I60" s="21">
        <f>H60-(2790)/1000*$H$5</f>
        <v>6097.21</v>
      </c>
      <c r="J60" s="54" t="s">
        <v>185</v>
      </c>
      <c r="K60" s="34"/>
    </row>
    <row r="61" spans="1:12" ht="165.75" customHeight="1" x14ac:dyDescent="0.2">
      <c r="A61" s="17" t="s">
        <v>188</v>
      </c>
      <c r="B61" s="93" t="s">
        <v>922</v>
      </c>
      <c r="C61" s="98" t="s">
        <v>651</v>
      </c>
      <c r="D61" s="174" t="s">
        <v>923</v>
      </c>
      <c r="E61" s="156" t="s">
        <v>185</v>
      </c>
      <c r="F61" s="12" t="s">
        <v>46</v>
      </c>
      <c r="G61" s="55" t="s">
        <v>48</v>
      </c>
      <c r="H61" s="102">
        <f>(22567584.09)/1000*$H$5</f>
        <v>22567.58409</v>
      </c>
      <c r="I61" s="102">
        <f>H61-(1513641+2800000+165000)/1000*$H$5</f>
        <v>18088.943090000001</v>
      </c>
      <c r="J61" s="100" t="s">
        <v>189</v>
      </c>
      <c r="K61" s="32"/>
    </row>
    <row r="62" spans="1:12" ht="52.5" customHeight="1" x14ac:dyDescent="0.2">
      <c r="A62" s="157" t="s">
        <v>190</v>
      </c>
      <c r="B62" s="153" t="s">
        <v>307</v>
      </c>
      <c r="C62" s="585" t="s">
        <v>656</v>
      </c>
      <c r="D62" s="173"/>
      <c r="E62" s="116"/>
      <c r="F62" s="19"/>
      <c r="G62" s="24"/>
      <c r="H62" s="21"/>
      <c r="I62" s="21"/>
      <c r="J62" s="42"/>
      <c r="K62" s="34"/>
    </row>
    <row r="63" spans="1:12" ht="81" customHeight="1" x14ac:dyDescent="0.2">
      <c r="A63" s="16" t="s">
        <v>191</v>
      </c>
      <c r="B63" s="51" t="s">
        <v>924</v>
      </c>
      <c r="C63" s="586"/>
      <c r="D63" s="173" t="s">
        <v>928</v>
      </c>
      <c r="E63" s="156" t="s">
        <v>224</v>
      </c>
      <c r="F63" s="19" t="s">
        <v>223</v>
      </c>
      <c r="G63" s="24" t="s">
        <v>658</v>
      </c>
      <c r="H63" s="21">
        <f>(755098153.19/1.18)/1000*$H$5</f>
        <v>639913.68914406793</v>
      </c>
      <c r="I63" s="21">
        <f>H63-(3069504.4)/1000*$H$5</f>
        <v>636844.18474406796</v>
      </c>
      <c r="J63" s="42" t="s">
        <v>224</v>
      </c>
      <c r="K63" s="34"/>
      <c r="L63" s="1" t="s">
        <v>657</v>
      </c>
    </row>
    <row r="64" spans="1:12" ht="81.75" customHeight="1" x14ac:dyDescent="0.2">
      <c r="A64" s="16" t="s">
        <v>192</v>
      </c>
      <c r="B64" s="44" t="s">
        <v>926</v>
      </c>
      <c r="C64" s="586"/>
      <c r="D64" s="173" t="s">
        <v>927</v>
      </c>
      <c r="E64" s="116" t="s">
        <v>185</v>
      </c>
      <c r="F64" s="19" t="s">
        <v>31</v>
      </c>
      <c r="G64" s="19" t="s">
        <v>11</v>
      </c>
      <c r="H64" s="21">
        <f>(263049495)/1000*$H$5</f>
        <v>263049.495</v>
      </c>
      <c r="I64" s="21">
        <f>H64-(3429672+4392871+1527542)/1000*$H$5</f>
        <v>253699.41</v>
      </c>
      <c r="J64" s="42" t="s">
        <v>225</v>
      </c>
      <c r="K64" s="34"/>
    </row>
    <row r="65" spans="1:12" ht="60" x14ac:dyDescent="0.2">
      <c r="A65" s="16" t="s">
        <v>193</v>
      </c>
      <c r="B65" s="44" t="s">
        <v>226</v>
      </c>
      <c r="C65" s="586"/>
      <c r="D65" s="173" t="s">
        <v>659</v>
      </c>
      <c r="E65" s="116" t="s">
        <v>185</v>
      </c>
      <c r="F65" s="19" t="s">
        <v>227</v>
      </c>
      <c r="G65" s="24" t="s">
        <v>660</v>
      </c>
      <c r="H65" s="21">
        <f>(1073038839.44)/1000*$H$5</f>
        <v>1073038.83944</v>
      </c>
      <c r="I65" s="21">
        <f>H65-(213273640+1475718+31875722+14558003+15523386+31999188+33739055+9912986+24735430)/1000*$H$5</f>
        <v>695945.71143999998</v>
      </c>
      <c r="J65" s="42" t="s">
        <v>185</v>
      </c>
      <c r="K65" s="34"/>
      <c r="L65" s="1" t="s">
        <v>659</v>
      </c>
    </row>
    <row r="66" spans="1:12" ht="48" x14ac:dyDescent="0.2">
      <c r="A66" s="16" t="s">
        <v>194</v>
      </c>
      <c r="B66" s="44" t="s">
        <v>228</v>
      </c>
      <c r="C66" s="586"/>
      <c r="D66" s="173" t="s">
        <v>662</v>
      </c>
      <c r="E66" s="116" t="s">
        <v>185</v>
      </c>
      <c r="F66" s="19" t="s">
        <v>13</v>
      </c>
      <c r="G66" s="24" t="s">
        <v>661</v>
      </c>
      <c r="H66" s="21">
        <f>(580672306.54)/1000*$H$5</f>
        <v>580672.30654000002</v>
      </c>
      <c r="I66" s="21">
        <f>H66-(131445396+7611196+8912693+1312680)/1000*$H$5</f>
        <v>431390.34154000005</v>
      </c>
      <c r="J66" s="42" t="s">
        <v>229</v>
      </c>
      <c r="K66" s="34"/>
      <c r="L66" s="1" t="s">
        <v>662</v>
      </c>
    </row>
    <row r="67" spans="1:12" ht="63.75" customHeight="1" x14ac:dyDescent="0.2">
      <c r="A67" s="16" t="s">
        <v>195</v>
      </c>
      <c r="B67" s="44" t="s">
        <v>929</v>
      </c>
      <c r="C67" s="586"/>
      <c r="D67" s="173" t="s">
        <v>663</v>
      </c>
      <c r="E67" s="116" t="s">
        <v>237</v>
      </c>
      <c r="F67" s="19" t="s">
        <v>61</v>
      </c>
      <c r="G67" s="24" t="s">
        <v>664</v>
      </c>
      <c r="H67" s="21">
        <f>(80521374.83)/1000*$H$5</f>
        <v>80521.374830000001</v>
      </c>
      <c r="I67" s="21">
        <f>H67-(0)/1000*$H$5</f>
        <v>80521.374830000001</v>
      </c>
      <c r="J67" s="42" t="s">
        <v>237</v>
      </c>
      <c r="K67" s="34"/>
      <c r="L67" s="1" t="s">
        <v>663</v>
      </c>
    </row>
    <row r="68" spans="1:12" ht="48" x14ac:dyDescent="0.2">
      <c r="A68" s="16" t="s">
        <v>196</v>
      </c>
      <c r="B68" s="44" t="s">
        <v>238</v>
      </c>
      <c r="C68" s="586"/>
      <c r="D68" s="173" t="s">
        <v>665</v>
      </c>
      <c r="E68" s="116" t="s">
        <v>239</v>
      </c>
      <c r="F68" s="19" t="s">
        <v>103</v>
      </c>
      <c r="G68" s="24" t="s">
        <v>666</v>
      </c>
      <c r="H68" s="21">
        <f>(36517483.6/1.18)/1000*$H$5</f>
        <v>30947.020000000004</v>
      </c>
      <c r="I68" s="21">
        <f>H68-(0)/1000*$H$5</f>
        <v>30947.020000000004</v>
      </c>
      <c r="J68" s="42" t="s">
        <v>239</v>
      </c>
      <c r="K68" s="34"/>
      <c r="L68" s="1" t="s">
        <v>665</v>
      </c>
    </row>
    <row r="69" spans="1:12" ht="68.25" customHeight="1" x14ac:dyDescent="0.2">
      <c r="A69" s="16" t="s">
        <v>197</v>
      </c>
      <c r="B69" s="155" t="s">
        <v>931</v>
      </c>
      <c r="C69" s="43" t="s">
        <v>234</v>
      </c>
      <c r="D69" s="173" t="s">
        <v>930</v>
      </c>
      <c r="E69" s="92" t="s">
        <v>334</v>
      </c>
      <c r="F69" s="19" t="s">
        <v>35</v>
      </c>
      <c r="G69" s="19" t="s">
        <v>230</v>
      </c>
      <c r="H69" s="21">
        <f>(11102044)/1000*$H$5</f>
        <v>11102.044</v>
      </c>
      <c r="I69" s="21">
        <f t="shared" ref="I69:I81" si="3">H69-(0)/1000*$H$5</f>
        <v>11102.044</v>
      </c>
      <c r="J69" s="42" t="s">
        <v>335</v>
      </c>
      <c r="K69" s="34"/>
    </row>
    <row r="70" spans="1:12" ht="52.5" customHeight="1" x14ac:dyDescent="0.2">
      <c r="A70" s="16" t="s">
        <v>198</v>
      </c>
      <c r="B70" s="155" t="s">
        <v>932</v>
      </c>
      <c r="C70" s="43"/>
      <c r="D70" s="173" t="s">
        <v>933</v>
      </c>
      <c r="E70" s="92" t="s">
        <v>232</v>
      </c>
      <c r="F70" s="19" t="s">
        <v>61</v>
      </c>
      <c r="G70" s="19" t="s">
        <v>61</v>
      </c>
      <c r="H70" s="21">
        <f>(1441492)/1000*$H$5</f>
        <v>1441.492</v>
      </c>
      <c r="I70" s="21">
        <f t="shared" si="3"/>
        <v>1441.492</v>
      </c>
      <c r="J70" s="42" t="s">
        <v>235</v>
      </c>
      <c r="K70" s="34"/>
    </row>
    <row r="71" spans="1:12" ht="36" x14ac:dyDescent="0.2">
      <c r="A71" s="16" t="s">
        <v>199</v>
      </c>
      <c r="B71" s="155" t="s">
        <v>240</v>
      </c>
      <c r="C71" s="43"/>
      <c r="D71" s="173"/>
      <c r="E71" s="92" t="s">
        <v>240</v>
      </c>
      <c r="F71" s="19" t="s">
        <v>62</v>
      </c>
      <c r="G71" s="19" t="s">
        <v>16</v>
      </c>
      <c r="H71" s="21">
        <f>(2545771)/1000*$H$5</f>
        <v>2545.7710000000002</v>
      </c>
      <c r="I71" s="21">
        <f t="shared" si="3"/>
        <v>2545.7710000000002</v>
      </c>
      <c r="J71" s="42" t="s">
        <v>241</v>
      </c>
      <c r="K71" s="34"/>
    </row>
    <row r="72" spans="1:12" ht="144" x14ac:dyDescent="0.2">
      <c r="A72" s="16" t="s">
        <v>200</v>
      </c>
      <c r="B72" s="155" t="s">
        <v>937</v>
      </c>
      <c r="C72" s="42" t="s">
        <v>667</v>
      </c>
      <c r="D72" s="172" t="s">
        <v>938</v>
      </c>
      <c r="E72" s="119" t="s">
        <v>939</v>
      </c>
      <c r="F72" s="19" t="s">
        <v>8</v>
      </c>
      <c r="G72" s="19" t="s">
        <v>9</v>
      </c>
      <c r="H72" s="21">
        <f>(33456472)/1000*$H$5</f>
        <v>33456.472000000002</v>
      </c>
      <c r="I72" s="21">
        <f>H72-(0)/1000*$H$5</f>
        <v>33456.472000000002</v>
      </c>
      <c r="J72" s="54" t="s">
        <v>936</v>
      </c>
      <c r="K72" s="34"/>
    </row>
    <row r="73" spans="1:12" ht="132" x14ac:dyDescent="0.2">
      <c r="A73" s="16" t="s">
        <v>201</v>
      </c>
      <c r="B73" s="155" t="s">
        <v>940</v>
      </c>
      <c r="C73" s="73" t="s">
        <v>764</v>
      </c>
      <c r="D73" s="172" t="s">
        <v>546</v>
      </c>
      <c r="E73" s="119" t="s">
        <v>941</v>
      </c>
      <c r="F73" s="19" t="s">
        <v>48</v>
      </c>
      <c r="G73" s="19" t="s">
        <v>9</v>
      </c>
      <c r="H73" s="21">
        <f>(96537111)/1000*$H$5</f>
        <v>96537.111000000004</v>
      </c>
      <c r="I73" s="21">
        <f>H73-(0)/1000*$H$5</f>
        <v>96537.111000000004</v>
      </c>
      <c r="J73" s="73" t="s">
        <v>545</v>
      </c>
      <c r="K73" s="34"/>
      <c r="L73" s="1" t="s">
        <v>546</v>
      </c>
    </row>
    <row r="74" spans="1:12" ht="96" x14ac:dyDescent="0.2">
      <c r="A74" s="16" t="s">
        <v>202</v>
      </c>
      <c r="B74" s="5" t="s">
        <v>942</v>
      </c>
      <c r="C74" s="91" t="s">
        <v>336</v>
      </c>
      <c r="D74" s="173" t="s">
        <v>944</v>
      </c>
      <c r="E74" s="119" t="s">
        <v>943</v>
      </c>
      <c r="F74" s="19" t="s">
        <v>13</v>
      </c>
      <c r="G74" s="19" t="s">
        <v>181</v>
      </c>
      <c r="H74" s="21">
        <f>(28683341.69)/1000*$H$5</f>
        <v>28683.341690000001</v>
      </c>
      <c r="I74" s="21">
        <f>H74-(5640762+8136815)/1000*$H$5</f>
        <v>14905.764690000002</v>
      </c>
      <c r="J74" s="54" t="s">
        <v>34</v>
      </c>
      <c r="K74" s="34"/>
    </row>
    <row r="75" spans="1:12" ht="48" x14ac:dyDescent="0.2">
      <c r="A75" s="16" t="s">
        <v>203</v>
      </c>
      <c r="B75" s="5" t="s">
        <v>945</v>
      </c>
      <c r="C75" s="43" t="s">
        <v>337</v>
      </c>
      <c r="D75" s="173" t="s">
        <v>946</v>
      </c>
      <c r="E75" s="164" t="s">
        <v>294</v>
      </c>
      <c r="F75" s="19" t="s">
        <v>8</v>
      </c>
      <c r="G75" s="19" t="s">
        <v>295</v>
      </c>
      <c r="H75" s="21">
        <f>(2645492)/1000*$H$5</f>
        <v>2645.4920000000002</v>
      </c>
      <c r="I75" s="21">
        <f t="shared" si="3"/>
        <v>2645.4920000000002</v>
      </c>
      <c r="J75" s="42" t="s">
        <v>294</v>
      </c>
      <c r="K75" s="34"/>
    </row>
    <row r="76" spans="1:12" ht="80.25" customHeight="1" x14ac:dyDescent="0.2">
      <c r="A76" s="16" t="s">
        <v>204</v>
      </c>
      <c r="B76" s="5" t="s">
        <v>299</v>
      </c>
      <c r="C76" s="50" t="s">
        <v>699</v>
      </c>
      <c r="D76" s="173" t="s">
        <v>950</v>
      </c>
      <c r="E76" s="167" t="s">
        <v>951</v>
      </c>
      <c r="F76" s="19" t="s">
        <v>36</v>
      </c>
      <c r="G76" s="19" t="s">
        <v>37</v>
      </c>
      <c r="H76" s="21">
        <v>8400</v>
      </c>
      <c r="I76" s="21">
        <v>8400</v>
      </c>
      <c r="J76" s="54" t="s">
        <v>38</v>
      </c>
      <c r="K76" s="34"/>
    </row>
    <row r="77" spans="1:12" ht="112.5" customHeight="1" x14ac:dyDescent="0.2">
      <c r="A77" s="16" t="s">
        <v>205</v>
      </c>
      <c r="B77" s="44" t="s">
        <v>23</v>
      </c>
      <c r="C77" s="43" t="s">
        <v>10</v>
      </c>
      <c r="D77" s="173" t="s">
        <v>947</v>
      </c>
      <c r="E77" s="167" t="s">
        <v>948</v>
      </c>
      <c r="F77" s="19" t="s">
        <v>12</v>
      </c>
      <c r="G77" s="19" t="s">
        <v>25</v>
      </c>
      <c r="H77" s="21">
        <f>(6953730.8)/1000*$H$5</f>
        <v>6953.7307999999994</v>
      </c>
      <c r="I77" s="21">
        <f>H77-(0)/1000*$H$5</f>
        <v>6953.7307999999994</v>
      </c>
      <c r="J77" s="42" t="s">
        <v>948</v>
      </c>
      <c r="K77" s="34"/>
      <c r="L77" s="1" t="s">
        <v>947</v>
      </c>
    </row>
    <row r="78" spans="1:12" ht="67.5" customHeight="1" x14ac:dyDescent="0.2">
      <c r="A78" s="16" t="s">
        <v>206</v>
      </c>
      <c r="B78" s="44" t="s">
        <v>300</v>
      </c>
      <c r="C78" s="43" t="s">
        <v>302</v>
      </c>
      <c r="D78" s="173" t="s">
        <v>952</v>
      </c>
      <c r="E78" s="167" t="s">
        <v>301</v>
      </c>
      <c r="F78" s="19" t="s">
        <v>5</v>
      </c>
      <c r="G78" s="19" t="s">
        <v>7</v>
      </c>
      <c r="H78" s="21">
        <f>(3599389.4/1.18)/1000*$H$5</f>
        <v>3050.33</v>
      </c>
      <c r="I78" s="21">
        <f t="shared" si="3"/>
        <v>3050.33</v>
      </c>
      <c r="J78" s="42" t="s">
        <v>301</v>
      </c>
      <c r="K78" s="34"/>
    </row>
    <row r="79" spans="1:12" ht="82.5" customHeight="1" x14ac:dyDescent="0.2">
      <c r="A79" s="16" t="s">
        <v>207</v>
      </c>
      <c r="B79" s="44" t="s">
        <v>303</v>
      </c>
      <c r="C79" s="43" t="s">
        <v>305</v>
      </c>
      <c r="D79" s="173" t="s">
        <v>622</v>
      </c>
      <c r="E79" s="167" t="s">
        <v>949</v>
      </c>
      <c r="F79" s="19" t="s">
        <v>139</v>
      </c>
      <c r="G79" s="19" t="s">
        <v>211</v>
      </c>
      <c r="H79" s="21">
        <f>(5412330)/1000*$H$5</f>
        <v>5412.33</v>
      </c>
      <c r="I79" s="21">
        <f t="shared" si="3"/>
        <v>5412.33</v>
      </c>
      <c r="J79" s="42" t="s">
        <v>304</v>
      </c>
      <c r="K79" s="34"/>
      <c r="L79" s="1" t="s">
        <v>622</v>
      </c>
    </row>
    <row r="80" spans="1:12" hidden="1" x14ac:dyDescent="0.2">
      <c r="A80" s="16"/>
      <c r="B80" s="44"/>
      <c r="C80" s="43"/>
      <c r="D80" s="173"/>
      <c r="E80" s="116"/>
      <c r="F80" s="19"/>
      <c r="G80" s="24"/>
      <c r="H80" s="13">
        <f>(0)/1000*$H$5</f>
        <v>0</v>
      </c>
      <c r="I80" s="13">
        <f t="shared" si="3"/>
        <v>0</v>
      </c>
      <c r="J80" s="42"/>
      <c r="K80" s="34"/>
    </row>
    <row r="81" spans="1:11" hidden="1" x14ac:dyDescent="0.2">
      <c r="A81" s="16"/>
      <c r="B81" s="44"/>
      <c r="C81" s="43"/>
      <c r="D81" s="173"/>
      <c r="E81" s="116"/>
      <c r="F81" s="19"/>
      <c r="G81" s="24"/>
      <c r="H81" s="13">
        <f>(0)/1000*$H$5</f>
        <v>0</v>
      </c>
      <c r="I81" s="13">
        <f t="shared" si="3"/>
        <v>0</v>
      </c>
      <c r="J81" s="42"/>
      <c r="K81" s="34"/>
    </row>
    <row r="82" spans="1:11" s="60" customFormat="1" ht="84" x14ac:dyDescent="0.2">
      <c r="A82" s="163" t="s">
        <v>934</v>
      </c>
      <c r="B82" s="57" t="s">
        <v>935</v>
      </c>
      <c r="C82" s="162" t="s">
        <v>234</v>
      </c>
      <c r="D82" s="176" t="s">
        <v>953</v>
      </c>
      <c r="E82" s="58" t="s">
        <v>231</v>
      </c>
      <c r="F82" s="19" t="s">
        <v>101</v>
      </c>
      <c r="G82" s="19" t="s">
        <v>101</v>
      </c>
      <c r="H82" s="21">
        <f>(623681)/1000*$H$5</f>
        <v>623.68100000000004</v>
      </c>
      <c r="I82" s="21">
        <f>H82-(0)/1000*$H$5</f>
        <v>623.68100000000004</v>
      </c>
      <c r="J82" s="58" t="s">
        <v>231</v>
      </c>
      <c r="K82" s="59"/>
    </row>
    <row r="83" spans="1:11" ht="50.25" customHeight="1" x14ac:dyDescent="0.2">
      <c r="A83" s="158" t="s">
        <v>308</v>
      </c>
      <c r="B83" s="153" t="s">
        <v>338</v>
      </c>
      <c r="C83" s="585" t="s">
        <v>169</v>
      </c>
      <c r="D83" s="175"/>
      <c r="E83" s="115"/>
      <c r="F83" s="18"/>
      <c r="G83" s="18"/>
      <c r="H83" s="20">
        <f>(0)/1000*$H$5</f>
        <v>0</v>
      </c>
      <c r="I83" s="20">
        <f>H83-(0)/1000*$H$5</f>
        <v>0</v>
      </c>
      <c r="J83" s="39"/>
      <c r="K83" s="35"/>
    </row>
    <row r="84" spans="1:11" ht="36" x14ac:dyDescent="0.2">
      <c r="A84" s="16" t="s">
        <v>213</v>
      </c>
      <c r="B84" s="37" t="s">
        <v>266</v>
      </c>
      <c r="C84" s="586"/>
      <c r="D84" s="173" t="s">
        <v>954</v>
      </c>
      <c r="E84" s="167" t="s">
        <v>128</v>
      </c>
      <c r="F84" s="19" t="s">
        <v>174</v>
      </c>
      <c r="G84" s="19" t="s">
        <v>8</v>
      </c>
      <c r="H84" s="21">
        <f>(1935198.82/1.18)/1000*$H$5</f>
        <v>1639.9990000000003</v>
      </c>
      <c r="I84" s="21">
        <f t="shared" ref="I84:I113" si="4">H84-(0)/1000*$H$5</f>
        <v>1639.9990000000003</v>
      </c>
      <c r="J84" s="40" t="s">
        <v>128</v>
      </c>
      <c r="K84" s="34"/>
    </row>
    <row r="85" spans="1:11" ht="36" x14ac:dyDescent="0.2">
      <c r="A85" s="16" t="s">
        <v>214</v>
      </c>
      <c r="B85" s="37" t="s">
        <v>267</v>
      </c>
      <c r="C85" s="586"/>
      <c r="D85" s="173" t="s">
        <v>955</v>
      </c>
      <c r="E85" s="167" t="s">
        <v>175</v>
      </c>
      <c r="F85" s="19" t="s">
        <v>46</v>
      </c>
      <c r="G85" s="19" t="s">
        <v>126</v>
      </c>
      <c r="H85" s="21">
        <f>(570000)/1000*$H$5</f>
        <v>570</v>
      </c>
      <c r="I85" s="21">
        <f t="shared" si="4"/>
        <v>570</v>
      </c>
      <c r="J85" s="40" t="s">
        <v>175</v>
      </c>
      <c r="K85" s="34"/>
    </row>
    <row r="86" spans="1:11" ht="36" x14ac:dyDescent="0.2">
      <c r="A86" s="16" t="s">
        <v>215</v>
      </c>
      <c r="B86" s="37" t="s">
        <v>268</v>
      </c>
      <c r="C86" s="586"/>
      <c r="D86" s="173" t="s">
        <v>956</v>
      </c>
      <c r="E86" s="167" t="s">
        <v>128</v>
      </c>
      <c r="F86" s="19" t="s">
        <v>176</v>
      </c>
      <c r="G86" s="19" t="s">
        <v>176</v>
      </c>
      <c r="H86" s="21">
        <f>(259600/1.18)/1000*$H$5</f>
        <v>220</v>
      </c>
      <c r="I86" s="21">
        <f t="shared" si="4"/>
        <v>220</v>
      </c>
      <c r="J86" s="40" t="s">
        <v>128</v>
      </c>
      <c r="K86" s="34"/>
    </row>
    <row r="87" spans="1:11" ht="36" x14ac:dyDescent="0.2">
      <c r="A87" s="16" t="s">
        <v>216</v>
      </c>
      <c r="B87" s="37" t="s">
        <v>269</v>
      </c>
      <c r="C87" s="586"/>
      <c r="D87" s="173" t="s">
        <v>957</v>
      </c>
      <c r="E87" s="167" t="s">
        <v>128</v>
      </c>
      <c r="F87" s="19" t="s">
        <v>177</v>
      </c>
      <c r="G87" s="19" t="s">
        <v>177</v>
      </c>
      <c r="H87" s="21">
        <f>(218300/1.18)/1000*$H$5</f>
        <v>185</v>
      </c>
      <c r="I87" s="21">
        <f t="shared" si="4"/>
        <v>185</v>
      </c>
      <c r="J87" s="40" t="s">
        <v>128</v>
      </c>
      <c r="K87" s="34"/>
    </row>
    <row r="88" spans="1:11" ht="62.25" customHeight="1" x14ac:dyDescent="0.2">
      <c r="A88" s="16" t="s">
        <v>217</v>
      </c>
      <c r="B88" s="37" t="s">
        <v>270</v>
      </c>
      <c r="C88" s="586"/>
      <c r="D88" s="173" t="s">
        <v>958</v>
      </c>
      <c r="E88" s="167" t="s">
        <v>175</v>
      </c>
      <c r="F88" s="19" t="s">
        <v>177</v>
      </c>
      <c r="G88" s="19" t="s">
        <v>54</v>
      </c>
      <c r="H88" s="21">
        <f>(390000)/1000*$H$5</f>
        <v>390</v>
      </c>
      <c r="I88" s="21">
        <f t="shared" si="4"/>
        <v>390</v>
      </c>
      <c r="J88" s="40" t="s">
        <v>175</v>
      </c>
      <c r="K88" s="34"/>
    </row>
    <row r="89" spans="1:11" ht="45" x14ac:dyDescent="0.2">
      <c r="A89" s="16" t="s">
        <v>309</v>
      </c>
      <c r="B89" s="37" t="s">
        <v>271</v>
      </c>
      <c r="C89" s="586"/>
      <c r="D89" s="173" t="s">
        <v>959</v>
      </c>
      <c r="E89" s="167" t="s">
        <v>178</v>
      </c>
      <c r="F89" s="19" t="s">
        <v>12</v>
      </c>
      <c r="G89" s="19" t="s">
        <v>12</v>
      </c>
      <c r="H89" s="21">
        <f>(279660/1.18)/1000*$H$5</f>
        <v>237</v>
      </c>
      <c r="I89" s="21">
        <f t="shared" si="4"/>
        <v>237</v>
      </c>
      <c r="J89" s="40" t="s">
        <v>178</v>
      </c>
      <c r="K89" s="34"/>
    </row>
    <row r="90" spans="1:11" ht="45" x14ac:dyDescent="0.2">
      <c r="A90" s="16" t="s">
        <v>310</v>
      </c>
      <c r="B90" s="37" t="s">
        <v>272</v>
      </c>
      <c r="C90" s="586"/>
      <c r="D90" s="173" t="s">
        <v>960</v>
      </c>
      <c r="E90" s="167" t="s">
        <v>178</v>
      </c>
      <c r="F90" s="19" t="s">
        <v>179</v>
      </c>
      <c r="G90" s="19" t="s">
        <v>52</v>
      </c>
      <c r="H90" s="21">
        <f>(731598.82/1.18)/1000*$H$5</f>
        <v>619.99900000000002</v>
      </c>
      <c r="I90" s="21">
        <f t="shared" si="4"/>
        <v>619.99900000000002</v>
      </c>
      <c r="J90" s="40" t="s">
        <v>178</v>
      </c>
      <c r="K90" s="34"/>
    </row>
    <row r="91" spans="1:11" ht="45" x14ac:dyDescent="0.2">
      <c r="A91" s="16" t="s">
        <v>311</v>
      </c>
      <c r="B91" s="37" t="s">
        <v>273</v>
      </c>
      <c r="C91" s="586"/>
      <c r="D91" s="173" t="s">
        <v>961</v>
      </c>
      <c r="E91" s="167" t="s">
        <v>180</v>
      </c>
      <c r="F91" s="19" t="s">
        <v>181</v>
      </c>
      <c r="G91" s="19" t="s">
        <v>51</v>
      </c>
      <c r="H91" s="21">
        <f>(70800/1.18)/1000*$H$5</f>
        <v>60</v>
      </c>
      <c r="I91" s="21">
        <f t="shared" si="4"/>
        <v>60</v>
      </c>
      <c r="J91" s="40" t="s">
        <v>180</v>
      </c>
      <c r="K91" s="34"/>
    </row>
    <row r="92" spans="1:11" ht="60" x14ac:dyDescent="0.2">
      <c r="A92" s="16" t="s">
        <v>312</v>
      </c>
      <c r="B92" s="37" t="s">
        <v>274</v>
      </c>
      <c r="C92" s="586"/>
      <c r="D92" s="173" t="s">
        <v>962</v>
      </c>
      <c r="E92" s="167" t="s">
        <v>178</v>
      </c>
      <c r="F92" s="19" t="s">
        <v>56</v>
      </c>
      <c r="G92" s="19" t="s">
        <v>129</v>
      </c>
      <c r="H92" s="21">
        <f>(300000)/1000*$H$5</f>
        <v>300</v>
      </c>
      <c r="I92" s="21">
        <f t="shared" si="4"/>
        <v>300</v>
      </c>
      <c r="J92" s="40" t="s">
        <v>178</v>
      </c>
      <c r="K92" s="34"/>
    </row>
    <row r="93" spans="1:11" ht="60" x14ac:dyDescent="0.2">
      <c r="A93" s="16" t="s">
        <v>313</v>
      </c>
      <c r="B93" s="37" t="s">
        <v>275</v>
      </c>
      <c r="C93" s="586"/>
      <c r="D93" s="173" t="s">
        <v>963</v>
      </c>
      <c r="E93" s="167" t="s">
        <v>175</v>
      </c>
      <c r="F93" s="19" t="s">
        <v>56</v>
      </c>
      <c r="G93" s="19" t="s">
        <v>52</v>
      </c>
      <c r="H93" s="21">
        <f>(780000)/1000*$H$5</f>
        <v>780</v>
      </c>
      <c r="I93" s="21">
        <f t="shared" si="4"/>
        <v>780</v>
      </c>
      <c r="J93" s="40" t="s">
        <v>175</v>
      </c>
      <c r="K93" s="34"/>
    </row>
    <row r="94" spans="1:11" ht="33.75" x14ac:dyDescent="0.2">
      <c r="A94" s="16" t="s">
        <v>314</v>
      </c>
      <c r="B94" s="92" t="s">
        <v>276</v>
      </c>
      <c r="C94" s="49"/>
      <c r="D94" s="173" t="s">
        <v>964</v>
      </c>
      <c r="E94" s="167" t="s">
        <v>182</v>
      </c>
      <c r="F94" s="19" t="s">
        <v>132</v>
      </c>
      <c r="G94" s="19" t="s">
        <v>7</v>
      </c>
      <c r="H94" s="21">
        <f>(2285000)/1000*$H$5</f>
        <v>2285</v>
      </c>
      <c r="I94" s="21">
        <f t="shared" si="4"/>
        <v>2285</v>
      </c>
      <c r="J94" s="40" t="s">
        <v>182</v>
      </c>
      <c r="K94" s="34"/>
    </row>
    <row r="95" spans="1:11" ht="36" x14ac:dyDescent="0.2">
      <c r="A95" s="16" t="s">
        <v>315</v>
      </c>
      <c r="B95" s="37" t="s">
        <v>277</v>
      </c>
      <c r="C95" s="49"/>
      <c r="D95" s="173" t="s">
        <v>965</v>
      </c>
      <c r="E95" s="167" t="s">
        <v>136</v>
      </c>
      <c r="F95" s="19" t="s">
        <v>4</v>
      </c>
      <c r="G95" s="19" t="s">
        <v>14</v>
      </c>
      <c r="H95" s="21">
        <f>(7400000)/1000*$H$5</f>
        <v>7400</v>
      </c>
      <c r="I95" s="21">
        <f>H95-(3960545+263553)/1000*$H$5</f>
        <v>3175.902</v>
      </c>
      <c r="J95" s="40" t="s">
        <v>136</v>
      </c>
      <c r="K95" s="34"/>
    </row>
    <row r="96" spans="1:11" ht="33.75" x14ac:dyDescent="0.2">
      <c r="A96" s="16" t="s">
        <v>316</v>
      </c>
      <c r="B96" s="37" t="s">
        <v>278</v>
      </c>
      <c r="C96" s="49"/>
      <c r="D96" s="173" t="s">
        <v>966</v>
      </c>
      <c r="E96" s="167" t="s">
        <v>182</v>
      </c>
      <c r="F96" s="19" t="s">
        <v>24</v>
      </c>
      <c r="G96" s="19" t="s">
        <v>95</v>
      </c>
      <c r="H96" s="21">
        <f>(1949000)/1000*$H$5</f>
        <v>1949</v>
      </c>
      <c r="I96" s="21">
        <f t="shared" si="4"/>
        <v>1949</v>
      </c>
      <c r="J96" s="40" t="s">
        <v>182</v>
      </c>
      <c r="K96" s="34"/>
    </row>
    <row r="97" spans="1:11" ht="33.75" x14ac:dyDescent="0.2">
      <c r="A97" s="16" t="s">
        <v>317</v>
      </c>
      <c r="B97" s="37" t="s">
        <v>279</v>
      </c>
      <c r="C97" s="49"/>
      <c r="D97" s="173" t="s">
        <v>967</v>
      </c>
      <c r="E97" s="167" t="s">
        <v>182</v>
      </c>
      <c r="F97" s="19" t="s">
        <v>91</v>
      </c>
      <c r="G97" s="19" t="s">
        <v>93</v>
      </c>
      <c r="H97" s="21">
        <f>(460000)/1000*$H$5</f>
        <v>460</v>
      </c>
      <c r="I97" s="21">
        <f t="shared" si="4"/>
        <v>460</v>
      </c>
      <c r="J97" s="40" t="s">
        <v>182</v>
      </c>
      <c r="K97" s="34"/>
    </row>
    <row r="98" spans="1:11" ht="36" x14ac:dyDescent="0.2">
      <c r="A98" s="16" t="s">
        <v>318</v>
      </c>
      <c r="B98" s="37" t="s">
        <v>280</v>
      </c>
      <c r="C98" s="49"/>
      <c r="D98" s="173" t="s">
        <v>968</v>
      </c>
      <c r="E98" s="167" t="s">
        <v>183</v>
      </c>
      <c r="F98" s="19" t="s">
        <v>137</v>
      </c>
      <c r="G98" s="19" t="s">
        <v>139</v>
      </c>
      <c r="H98" s="21">
        <f>(777278)/1000*$H$5</f>
        <v>777.27800000000002</v>
      </c>
      <c r="I98" s="21">
        <f>H98-(98229)/1000*$H$5</f>
        <v>679.04899999999998</v>
      </c>
      <c r="J98" s="40" t="s">
        <v>183</v>
      </c>
      <c r="K98" s="34"/>
    </row>
    <row r="99" spans="1:11" ht="36" x14ac:dyDescent="0.2">
      <c r="A99" s="16" t="s">
        <v>319</v>
      </c>
      <c r="B99" s="37" t="s">
        <v>281</v>
      </c>
      <c r="C99" s="49"/>
      <c r="D99" s="173" t="s">
        <v>969</v>
      </c>
      <c r="E99" s="167" t="s">
        <v>183</v>
      </c>
      <c r="F99" s="19" t="s">
        <v>137</v>
      </c>
      <c r="G99" s="19" t="s">
        <v>139</v>
      </c>
      <c r="H99" s="21">
        <f>(956000)/1000*$H$5</f>
        <v>956</v>
      </c>
      <c r="I99" s="21">
        <f>H99-(341273)/1000*$H$5</f>
        <v>614.72699999999998</v>
      </c>
      <c r="J99" s="40" t="s">
        <v>183</v>
      </c>
      <c r="K99" s="34"/>
    </row>
    <row r="100" spans="1:11" ht="36" x14ac:dyDescent="0.2">
      <c r="A100" s="16" t="s">
        <v>320</v>
      </c>
      <c r="B100" s="37" t="s">
        <v>282</v>
      </c>
      <c r="C100" s="49"/>
      <c r="D100" s="173" t="s">
        <v>970</v>
      </c>
      <c r="E100" s="167" t="s">
        <v>183</v>
      </c>
      <c r="F100" s="19" t="s">
        <v>137</v>
      </c>
      <c r="G100" s="19" t="s">
        <v>139</v>
      </c>
      <c r="H100" s="21">
        <f>(790000)/1000*$H$5</f>
        <v>790</v>
      </c>
      <c r="I100" s="21">
        <f>H100-(222000)/1000*$H$5</f>
        <v>568</v>
      </c>
      <c r="J100" s="40" t="s">
        <v>183</v>
      </c>
      <c r="K100" s="34"/>
    </row>
    <row r="101" spans="1:11" ht="39" customHeight="1" x14ac:dyDescent="0.2">
      <c r="A101" s="16" t="s">
        <v>321</v>
      </c>
      <c r="B101" s="37" t="s">
        <v>283</v>
      </c>
      <c r="C101" s="49"/>
      <c r="D101" s="173" t="s">
        <v>971</v>
      </c>
      <c r="E101" s="167" t="s">
        <v>182</v>
      </c>
      <c r="F101" s="19" t="s">
        <v>16</v>
      </c>
      <c r="G101" s="19" t="s">
        <v>11</v>
      </c>
      <c r="H101" s="21">
        <f>(333000)/1000*$H$5</f>
        <v>333</v>
      </c>
      <c r="I101" s="21">
        <f t="shared" si="4"/>
        <v>333</v>
      </c>
      <c r="J101" s="40" t="s">
        <v>182</v>
      </c>
      <c r="K101" s="34"/>
    </row>
    <row r="102" spans="1:11" ht="31.5" customHeight="1" x14ac:dyDescent="0.2">
      <c r="A102" s="17" t="s">
        <v>322</v>
      </c>
      <c r="B102" s="93" t="s">
        <v>284</v>
      </c>
      <c r="C102" s="130"/>
      <c r="D102" s="173" t="s">
        <v>972</v>
      </c>
      <c r="E102" s="168" t="s">
        <v>182</v>
      </c>
      <c r="F102" s="12" t="s">
        <v>107</v>
      </c>
      <c r="G102" s="12" t="s">
        <v>11</v>
      </c>
      <c r="H102" s="102">
        <f>(1356000)/1000*$H$5</f>
        <v>1356</v>
      </c>
      <c r="I102" s="102">
        <f t="shared" si="4"/>
        <v>1356</v>
      </c>
      <c r="J102" s="100" t="s">
        <v>182</v>
      </c>
      <c r="K102" s="32"/>
    </row>
    <row r="103" spans="1:11" ht="30.75" customHeight="1" x14ac:dyDescent="0.2">
      <c r="A103" s="157" t="s">
        <v>212</v>
      </c>
      <c r="B103" s="159" t="s">
        <v>285</v>
      </c>
      <c r="C103" s="585" t="s">
        <v>208</v>
      </c>
      <c r="D103" s="175"/>
      <c r="E103" s="115"/>
      <c r="F103" s="18"/>
      <c r="G103" s="18"/>
      <c r="H103" s="20">
        <f>(0)/1000*$H$5</f>
        <v>0</v>
      </c>
      <c r="I103" s="20">
        <f t="shared" si="4"/>
        <v>0</v>
      </c>
      <c r="J103" s="39"/>
      <c r="K103" s="35"/>
    </row>
    <row r="104" spans="1:11" ht="36" x14ac:dyDescent="0.2">
      <c r="A104" s="16" t="s">
        <v>323</v>
      </c>
      <c r="B104" s="37" t="s">
        <v>286</v>
      </c>
      <c r="C104" s="586"/>
      <c r="D104" s="173" t="s">
        <v>973</v>
      </c>
      <c r="E104" s="167" t="s">
        <v>210</v>
      </c>
      <c r="F104" s="19" t="s">
        <v>60</v>
      </c>
      <c r="G104" s="19" t="s">
        <v>9</v>
      </c>
      <c r="H104" s="21">
        <f>(2597207)/1000*$H$5</f>
        <v>2597.2069999999999</v>
      </c>
      <c r="I104" s="21">
        <f t="shared" si="4"/>
        <v>2597.2069999999999</v>
      </c>
      <c r="J104" s="40" t="s">
        <v>210</v>
      </c>
      <c r="K104" s="34"/>
    </row>
    <row r="105" spans="1:11" ht="36" x14ac:dyDescent="0.2">
      <c r="A105" s="16" t="s">
        <v>324</v>
      </c>
      <c r="B105" s="37" t="s">
        <v>287</v>
      </c>
      <c r="C105" s="586"/>
      <c r="D105" s="173" t="s">
        <v>974</v>
      </c>
      <c r="E105" s="167" t="s">
        <v>182</v>
      </c>
      <c r="F105" s="19" t="s">
        <v>211</v>
      </c>
      <c r="G105" s="19" t="s">
        <v>11</v>
      </c>
      <c r="H105" s="21">
        <f>(4745324)/1000*$H$5</f>
        <v>4745.3239999999996</v>
      </c>
      <c r="I105" s="21">
        <f t="shared" si="4"/>
        <v>4745.3239999999996</v>
      </c>
      <c r="J105" s="40" t="s">
        <v>182</v>
      </c>
      <c r="K105" s="34"/>
    </row>
    <row r="106" spans="1:11" ht="33.75" x14ac:dyDescent="0.2">
      <c r="A106" s="16" t="s">
        <v>325</v>
      </c>
      <c r="B106" s="37" t="s">
        <v>288</v>
      </c>
      <c r="C106" s="586"/>
      <c r="D106" s="173" t="s">
        <v>975</v>
      </c>
      <c r="E106" s="167" t="s">
        <v>182</v>
      </c>
      <c r="F106" s="19" t="s">
        <v>211</v>
      </c>
      <c r="G106" s="19" t="s">
        <v>11</v>
      </c>
      <c r="H106" s="21">
        <f>(2553018)/1000*$H$5</f>
        <v>2553.018</v>
      </c>
      <c r="I106" s="21">
        <f t="shared" si="4"/>
        <v>2553.018</v>
      </c>
      <c r="J106" s="40" t="s">
        <v>182</v>
      </c>
      <c r="K106" s="34"/>
    </row>
    <row r="107" spans="1:11" ht="48" x14ac:dyDescent="0.2">
      <c r="A107" s="16" t="s">
        <v>326</v>
      </c>
      <c r="B107" s="37" t="s">
        <v>339</v>
      </c>
      <c r="C107" s="586"/>
      <c r="D107" s="173" t="s">
        <v>976</v>
      </c>
      <c r="E107" s="167" t="s">
        <v>182</v>
      </c>
      <c r="F107" s="19" t="s">
        <v>211</v>
      </c>
      <c r="G107" s="19" t="s">
        <v>11</v>
      </c>
      <c r="H107" s="21">
        <f>(500000)/1000*$H$5</f>
        <v>500</v>
      </c>
      <c r="I107" s="21">
        <f t="shared" si="4"/>
        <v>500</v>
      </c>
      <c r="J107" s="40" t="s">
        <v>182</v>
      </c>
      <c r="K107" s="34"/>
    </row>
    <row r="108" spans="1:11" ht="46.5" customHeight="1" x14ac:dyDescent="0.2">
      <c r="A108" s="16" t="s">
        <v>327</v>
      </c>
      <c r="B108" s="37" t="s">
        <v>289</v>
      </c>
      <c r="C108" s="49"/>
      <c r="D108" s="173" t="s">
        <v>977</v>
      </c>
      <c r="E108" s="167" t="s">
        <v>182</v>
      </c>
      <c r="F108" s="19" t="s">
        <v>16</v>
      </c>
      <c r="G108" s="19" t="s">
        <v>107</v>
      </c>
      <c r="H108" s="21">
        <f>(299973)/1000*$H$5</f>
        <v>299.97300000000001</v>
      </c>
      <c r="I108" s="21">
        <f t="shared" si="4"/>
        <v>299.97300000000001</v>
      </c>
      <c r="J108" s="40" t="s">
        <v>182</v>
      </c>
      <c r="K108" s="34"/>
    </row>
    <row r="109" spans="1:11" ht="39.75" customHeight="1" x14ac:dyDescent="0.2">
      <c r="A109" s="157" t="s">
        <v>328</v>
      </c>
      <c r="B109" s="159" t="s">
        <v>291</v>
      </c>
      <c r="C109" s="585" t="s">
        <v>218</v>
      </c>
      <c r="D109" s="175"/>
      <c r="E109" s="115"/>
      <c r="F109" s="18"/>
      <c r="G109" s="18"/>
      <c r="H109" s="20">
        <f>(0)/1000*$H$5</f>
        <v>0</v>
      </c>
      <c r="I109" s="20">
        <f t="shared" si="4"/>
        <v>0</v>
      </c>
      <c r="J109" s="39"/>
      <c r="K109" s="35"/>
    </row>
    <row r="110" spans="1:11" ht="60.75" customHeight="1" x14ac:dyDescent="0.2">
      <c r="A110" s="16" t="s">
        <v>329</v>
      </c>
      <c r="B110" s="37" t="s">
        <v>290</v>
      </c>
      <c r="C110" s="587"/>
      <c r="D110" s="174" t="s">
        <v>978</v>
      </c>
      <c r="E110" s="168" t="s">
        <v>669</v>
      </c>
      <c r="F110" s="12" t="s">
        <v>104</v>
      </c>
      <c r="G110" s="63" t="s">
        <v>62</v>
      </c>
      <c r="H110" s="13">
        <f>(485000)/1000*$H$5</f>
        <v>485</v>
      </c>
      <c r="I110" s="13">
        <f t="shared" si="4"/>
        <v>485</v>
      </c>
      <c r="J110" s="40" t="s">
        <v>669</v>
      </c>
      <c r="K110" s="34"/>
    </row>
    <row r="111" spans="1:11" ht="48" customHeight="1" x14ac:dyDescent="0.2">
      <c r="A111" s="160" t="s">
        <v>330</v>
      </c>
      <c r="B111" s="159" t="s">
        <v>342</v>
      </c>
      <c r="C111" s="585" t="s">
        <v>340</v>
      </c>
      <c r="D111" s="173"/>
      <c r="E111" s="116"/>
      <c r="F111" s="19"/>
      <c r="G111" s="19"/>
      <c r="H111" s="21">
        <f>(0)/1000*$H$5</f>
        <v>0</v>
      </c>
      <c r="I111" s="21">
        <f t="shared" si="4"/>
        <v>0</v>
      </c>
      <c r="J111" s="39"/>
      <c r="K111" s="35"/>
    </row>
    <row r="112" spans="1:11" ht="52.5" customHeight="1" x14ac:dyDescent="0.2">
      <c r="A112" s="16" t="s">
        <v>331</v>
      </c>
      <c r="B112" s="37" t="s">
        <v>292</v>
      </c>
      <c r="C112" s="586"/>
      <c r="D112" s="173" t="s">
        <v>979</v>
      </c>
      <c r="E112" s="92" t="s">
        <v>292</v>
      </c>
      <c r="F112" s="19" t="s">
        <v>181</v>
      </c>
      <c r="G112" s="19" t="s">
        <v>54</v>
      </c>
      <c r="H112" s="21">
        <f>(689928.84)/1000*$H$5</f>
        <v>689.92883999999992</v>
      </c>
      <c r="I112" s="21">
        <f t="shared" si="4"/>
        <v>689.92883999999992</v>
      </c>
      <c r="J112" s="40" t="s">
        <v>219</v>
      </c>
      <c r="K112" s="34"/>
    </row>
    <row r="113" spans="1:12" ht="36" x14ac:dyDescent="0.2">
      <c r="A113" s="16" t="s">
        <v>332</v>
      </c>
      <c r="B113" s="38" t="s">
        <v>293</v>
      </c>
      <c r="C113" s="586"/>
      <c r="D113" s="174" t="s">
        <v>980</v>
      </c>
      <c r="E113" s="93" t="s">
        <v>292</v>
      </c>
      <c r="F113" s="12" t="s">
        <v>181</v>
      </c>
      <c r="G113" s="12" t="s">
        <v>54</v>
      </c>
      <c r="H113" s="13">
        <f>(669986.7)/1000*$H$5</f>
        <v>669.98669999999993</v>
      </c>
      <c r="I113" s="13">
        <f t="shared" si="4"/>
        <v>669.98669999999993</v>
      </c>
      <c r="J113" s="23" t="s">
        <v>670</v>
      </c>
      <c r="K113" s="32"/>
    </row>
    <row r="114" spans="1:12" ht="42" customHeight="1" x14ac:dyDescent="0.2">
      <c r="A114" s="160" t="s">
        <v>356</v>
      </c>
      <c r="B114" s="161" t="s">
        <v>355</v>
      </c>
      <c r="C114" s="588" t="s">
        <v>361</v>
      </c>
      <c r="D114" s="177"/>
      <c r="E114" s="133"/>
      <c r="F114" s="105"/>
      <c r="G114" s="92"/>
      <c r="H114" s="92"/>
      <c r="I114" s="92"/>
      <c r="J114" s="90"/>
      <c r="K114" s="35"/>
    </row>
    <row r="115" spans="1:12" ht="42" customHeight="1" x14ac:dyDescent="0.2">
      <c r="A115" s="56" t="s">
        <v>357</v>
      </c>
      <c r="B115" s="104" t="s">
        <v>358</v>
      </c>
      <c r="C115" s="589"/>
      <c r="D115" s="177" t="s">
        <v>981</v>
      </c>
      <c r="E115" s="167" t="s">
        <v>368</v>
      </c>
      <c r="F115" s="106" t="s">
        <v>132</v>
      </c>
      <c r="G115" s="19" t="s">
        <v>60</v>
      </c>
      <c r="H115" s="21">
        <f>(13558188)/1000*$H$5</f>
        <v>13558.188</v>
      </c>
      <c r="I115" s="21">
        <f>H115-(469389+1258717+530611+1765439)/1000*$H$5</f>
        <v>9534.0319999999992</v>
      </c>
      <c r="J115" s="91" t="s">
        <v>368</v>
      </c>
      <c r="K115" s="34"/>
      <c r="L115" s="62" t="s">
        <v>369</v>
      </c>
    </row>
    <row r="116" spans="1:12" ht="33" customHeight="1" x14ac:dyDescent="0.2">
      <c r="A116" s="56" t="s">
        <v>360</v>
      </c>
      <c r="B116" s="104" t="s">
        <v>359</v>
      </c>
      <c r="C116" s="589"/>
      <c r="D116" s="177" t="s">
        <v>982</v>
      </c>
      <c r="E116" s="167" t="s">
        <v>371</v>
      </c>
      <c r="F116" s="106" t="s">
        <v>91</v>
      </c>
      <c r="G116" s="19" t="s">
        <v>95</v>
      </c>
      <c r="H116" s="21">
        <f>(2385000)/1000*$H$5</f>
        <v>2385</v>
      </c>
      <c r="I116" s="21">
        <f>H116-(0)/1000*$H$5</f>
        <v>2385</v>
      </c>
      <c r="J116" s="19" t="s">
        <v>371</v>
      </c>
      <c r="K116" s="19"/>
      <c r="L116" s="1" t="s">
        <v>370</v>
      </c>
    </row>
    <row r="117" spans="1:12" ht="227.25" customHeight="1" x14ac:dyDescent="0.2">
      <c r="A117" s="75" t="s">
        <v>366</v>
      </c>
      <c r="B117" s="93" t="s">
        <v>365</v>
      </c>
      <c r="C117" s="93" t="s">
        <v>686</v>
      </c>
      <c r="D117" s="178" t="s">
        <v>983</v>
      </c>
      <c r="E117" s="93" t="s">
        <v>498</v>
      </c>
      <c r="F117" s="12" t="s">
        <v>4</v>
      </c>
      <c r="G117" s="12" t="s">
        <v>5</v>
      </c>
      <c r="H117" s="97">
        <f>(10567316+8421143+7072314+700000+6014061)/1000*$H$5</f>
        <v>32774.834000000003</v>
      </c>
      <c r="I117" s="97">
        <f>H117-(0)/1000*$H$5</f>
        <v>32774.834000000003</v>
      </c>
      <c r="J117" s="23" t="s">
        <v>536</v>
      </c>
      <c r="K117" s="32"/>
      <c r="L117" s="62" t="s">
        <v>367</v>
      </c>
    </row>
    <row r="118" spans="1:12" ht="96" customHeight="1" x14ac:dyDescent="0.2">
      <c r="A118" s="61" t="s">
        <v>343</v>
      </c>
      <c r="B118" s="92" t="s">
        <v>672</v>
      </c>
      <c r="C118" s="585" t="s">
        <v>671</v>
      </c>
      <c r="D118" s="173" t="s">
        <v>984</v>
      </c>
      <c r="E118" s="168" t="s">
        <v>341</v>
      </c>
      <c r="F118" s="12" t="s">
        <v>126</v>
      </c>
      <c r="G118" s="12" t="s">
        <v>295</v>
      </c>
      <c r="H118" s="13">
        <f>(83139502.68)/1000*$H$5</f>
        <v>83139.502680000005</v>
      </c>
      <c r="I118" s="13">
        <f>H118-(6200000+10529012+8438715+108814)/1000*$H$5</f>
        <v>57862.961680000008</v>
      </c>
      <c r="J118" s="23" t="s">
        <v>341</v>
      </c>
      <c r="K118" s="32"/>
    </row>
    <row r="119" spans="1:12" ht="119.25" customHeight="1" x14ac:dyDescent="0.2">
      <c r="A119" s="17" t="s">
        <v>917</v>
      </c>
      <c r="B119" s="129" t="s">
        <v>344</v>
      </c>
      <c r="C119" s="586"/>
      <c r="D119" s="173" t="s">
        <v>345</v>
      </c>
      <c r="E119" s="168" t="s">
        <v>229</v>
      </c>
      <c r="F119" s="11" t="s">
        <v>176</v>
      </c>
      <c r="G119" s="11" t="s">
        <v>11</v>
      </c>
      <c r="H119" s="102">
        <f>(18470000+6000000+43638688+35800000)/1000*$H$5</f>
        <v>103908.68799999999</v>
      </c>
      <c r="I119" s="102">
        <f>H119-(6226282+584574+1856603+1161147+12527+807520+625000+1980019)/1000*$H$5</f>
        <v>90655.015999999989</v>
      </c>
      <c r="J119" s="2" t="s">
        <v>348</v>
      </c>
      <c r="K119" s="3"/>
      <c r="L119" s="62" t="s">
        <v>345</v>
      </c>
    </row>
    <row r="120" spans="1:12" ht="180" x14ac:dyDescent="0.2">
      <c r="A120" s="17">
        <v>11</v>
      </c>
      <c r="B120" s="2" t="s">
        <v>347</v>
      </c>
      <c r="C120" s="586"/>
      <c r="D120" s="173" t="s">
        <v>350</v>
      </c>
      <c r="E120" s="168" t="s">
        <v>229</v>
      </c>
      <c r="F120" s="11" t="s">
        <v>176</v>
      </c>
      <c r="G120" s="11" t="s">
        <v>9</v>
      </c>
      <c r="H120" s="13">
        <f>(17300000+16253101+2100000+19600000)/1000*$H$5</f>
        <v>55253.101000000002</v>
      </c>
      <c r="I120" s="13">
        <f>H120-(2581571+57053+300000)/1000*$H$5</f>
        <v>52314.476999999999</v>
      </c>
      <c r="J120" s="4" t="s">
        <v>349</v>
      </c>
      <c r="K120" s="3"/>
      <c r="L120" s="62" t="s">
        <v>350</v>
      </c>
    </row>
    <row r="121" spans="1:12" ht="60" x14ac:dyDescent="0.2">
      <c r="A121" s="17" t="s">
        <v>362</v>
      </c>
      <c r="B121" s="31" t="s">
        <v>351</v>
      </c>
      <c r="C121" s="586"/>
      <c r="D121" s="173" t="s">
        <v>353</v>
      </c>
      <c r="E121" s="168" t="s">
        <v>229</v>
      </c>
      <c r="F121" s="11" t="s">
        <v>51</v>
      </c>
      <c r="G121" s="11" t="s">
        <v>52</v>
      </c>
      <c r="H121" s="13">
        <f>(6478556)/1000*$H$5</f>
        <v>6478.5559999999996</v>
      </c>
      <c r="I121" s="13">
        <f>H121-(5170957)/1000*$H$5</f>
        <v>1307.5989999999993</v>
      </c>
      <c r="J121" s="2" t="s">
        <v>352</v>
      </c>
      <c r="K121" s="3"/>
      <c r="L121" s="1" t="s">
        <v>353</v>
      </c>
    </row>
    <row r="122" spans="1:12" ht="48" x14ac:dyDescent="0.2">
      <c r="A122" s="17" t="s">
        <v>363</v>
      </c>
      <c r="B122" s="7" t="s">
        <v>986</v>
      </c>
      <c r="C122" s="586"/>
      <c r="D122" s="173" t="s">
        <v>354</v>
      </c>
      <c r="E122" s="165" t="s">
        <v>985</v>
      </c>
      <c r="F122" s="18" t="s">
        <v>49</v>
      </c>
      <c r="G122" s="18" t="s">
        <v>9</v>
      </c>
      <c r="H122" s="21">
        <f>(24038994+777000)/1000*$H$5</f>
        <v>24815.993999999999</v>
      </c>
      <c r="I122" s="21">
        <f>H122-(2293986+1543444+4453835)/1000*$H$5</f>
        <v>16524.728999999999</v>
      </c>
      <c r="J122" s="66" t="s">
        <v>372</v>
      </c>
      <c r="K122" s="3"/>
      <c r="L122" s="62" t="s">
        <v>354</v>
      </c>
    </row>
    <row r="123" spans="1:12" ht="48" x14ac:dyDescent="0.2">
      <c r="A123" s="17" t="s">
        <v>392</v>
      </c>
      <c r="B123" s="64" t="s">
        <v>801</v>
      </c>
      <c r="C123" s="586"/>
      <c r="D123" s="180" t="s">
        <v>374</v>
      </c>
      <c r="E123" s="71" t="s">
        <v>987</v>
      </c>
      <c r="F123" s="11" t="s">
        <v>124</v>
      </c>
      <c r="G123" s="11" t="s">
        <v>35</v>
      </c>
      <c r="H123" s="111">
        <f>(5116926)/1000*$H$5</f>
        <v>5116.9260000000004</v>
      </c>
      <c r="I123" s="111">
        <f>H123-(199477+243074)/1000*$H$5</f>
        <v>4674.375</v>
      </c>
      <c r="J123" s="66" t="s">
        <v>373</v>
      </c>
      <c r="K123" s="3"/>
      <c r="L123" s="62" t="s">
        <v>374</v>
      </c>
    </row>
    <row r="124" spans="1:12" ht="60" x14ac:dyDescent="0.2">
      <c r="A124" s="17" t="s">
        <v>393</v>
      </c>
      <c r="B124" s="64" t="s">
        <v>802</v>
      </c>
      <c r="C124" s="586"/>
      <c r="D124" s="180" t="s">
        <v>376</v>
      </c>
      <c r="E124" s="71" t="s">
        <v>229</v>
      </c>
      <c r="F124" s="11" t="s">
        <v>132</v>
      </c>
      <c r="G124" s="11" t="s">
        <v>377</v>
      </c>
      <c r="H124" s="111">
        <f>(1730000+1570000)/1000*$H$5</f>
        <v>3300</v>
      </c>
      <c r="I124" s="111">
        <f>H124-(1422391)/1000*$H$5</f>
        <v>1877.6089999999999</v>
      </c>
      <c r="J124" s="66" t="s">
        <v>375</v>
      </c>
      <c r="K124" s="3"/>
      <c r="L124" s="62" t="s">
        <v>376</v>
      </c>
    </row>
    <row r="125" spans="1:12" ht="48" x14ac:dyDescent="0.2">
      <c r="A125" s="17" t="s">
        <v>394</v>
      </c>
      <c r="B125" s="64" t="s">
        <v>379</v>
      </c>
      <c r="C125" s="586"/>
      <c r="D125" s="180" t="s">
        <v>380</v>
      </c>
      <c r="E125" s="71" t="s">
        <v>378</v>
      </c>
      <c r="F125" s="11" t="s">
        <v>14</v>
      </c>
      <c r="G125" s="11" t="s">
        <v>7</v>
      </c>
      <c r="H125" s="111">
        <f>(990000)/1000*$H$5</f>
        <v>990</v>
      </c>
      <c r="I125" s="111">
        <f>H125-(0)/1000*$H$5</f>
        <v>990</v>
      </c>
      <c r="J125" s="66" t="s">
        <v>378</v>
      </c>
      <c r="K125" s="3"/>
      <c r="L125" s="62" t="s">
        <v>380</v>
      </c>
    </row>
    <row r="126" spans="1:12" ht="84" x14ac:dyDescent="0.2">
      <c r="A126" s="17" t="s">
        <v>395</v>
      </c>
      <c r="B126" s="64" t="s">
        <v>381</v>
      </c>
      <c r="C126" s="586"/>
      <c r="D126" s="180" t="s">
        <v>383</v>
      </c>
      <c r="E126" s="71" t="s">
        <v>988</v>
      </c>
      <c r="F126" s="11" t="s">
        <v>24</v>
      </c>
      <c r="G126" s="11" t="s">
        <v>11</v>
      </c>
      <c r="H126" s="111">
        <f>(1430000)/1000*$H$5</f>
        <v>1430</v>
      </c>
      <c r="I126" s="111">
        <f>H126-(0)/1000*$H$5</f>
        <v>1430</v>
      </c>
      <c r="J126" s="66" t="s">
        <v>382</v>
      </c>
      <c r="K126" s="3"/>
      <c r="L126" s="68" t="s">
        <v>383</v>
      </c>
    </row>
    <row r="127" spans="1:12" ht="72" x14ac:dyDescent="0.2">
      <c r="A127" s="17" t="s">
        <v>396</v>
      </c>
      <c r="B127" s="64" t="s">
        <v>674</v>
      </c>
      <c r="C127" s="586"/>
      <c r="D127" s="180" t="s">
        <v>990</v>
      </c>
      <c r="E127" s="71" t="s">
        <v>989</v>
      </c>
      <c r="F127" s="11" t="s">
        <v>86</v>
      </c>
      <c r="G127" s="11" t="s">
        <v>16</v>
      </c>
      <c r="H127" s="111">
        <f>(1269000+1511338)/1000*$H$5</f>
        <v>2780.3380000000002</v>
      </c>
      <c r="I127" s="111">
        <f>H127-(0)/1000*$H$5</f>
        <v>2780.3380000000002</v>
      </c>
      <c r="J127" s="66" t="s">
        <v>384</v>
      </c>
      <c r="K127" s="3"/>
      <c r="L127" s="69" t="s">
        <v>385</v>
      </c>
    </row>
    <row r="128" spans="1:12" ht="36" x14ac:dyDescent="0.2">
      <c r="A128" s="16" t="s">
        <v>397</v>
      </c>
      <c r="B128" s="64" t="s">
        <v>673</v>
      </c>
      <c r="C128" s="587"/>
      <c r="D128" s="180" t="s">
        <v>387</v>
      </c>
      <c r="E128" s="71" t="s">
        <v>386</v>
      </c>
      <c r="F128" s="11" t="s">
        <v>16</v>
      </c>
      <c r="G128" s="11" t="s">
        <v>15</v>
      </c>
      <c r="H128" s="111">
        <f>(5970000)/1000*$H$5</f>
        <v>5970</v>
      </c>
      <c r="I128" s="111">
        <f>H128-(404688+1840498)/1000*$H$5</f>
        <v>3724.8139999999999</v>
      </c>
      <c r="J128" s="108" t="s">
        <v>386</v>
      </c>
      <c r="K128" s="35"/>
      <c r="L128" s="68" t="s">
        <v>387</v>
      </c>
    </row>
    <row r="129" spans="1:12" ht="39" customHeight="1" x14ac:dyDescent="0.2">
      <c r="A129" s="45" t="s">
        <v>398</v>
      </c>
      <c r="B129" s="94" t="s">
        <v>390</v>
      </c>
      <c r="C129" s="596" t="s">
        <v>402</v>
      </c>
      <c r="D129" s="171"/>
      <c r="E129" s="118"/>
      <c r="F129" s="18"/>
      <c r="G129" s="18"/>
      <c r="H129" s="96"/>
      <c r="I129" s="96"/>
      <c r="J129" s="108"/>
      <c r="K129" s="14"/>
      <c r="L129" s="62"/>
    </row>
    <row r="130" spans="1:12" ht="123" customHeight="1" x14ac:dyDescent="0.2">
      <c r="A130" s="16" t="s">
        <v>399</v>
      </c>
      <c r="B130" s="92" t="s">
        <v>391</v>
      </c>
      <c r="C130" s="597"/>
      <c r="D130" s="172" t="s">
        <v>388</v>
      </c>
      <c r="E130" s="119" t="s">
        <v>991</v>
      </c>
      <c r="F130" s="19" t="s">
        <v>389</v>
      </c>
      <c r="G130" s="19"/>
      <c r="H130" s="21">
        <f>(46178318)/1000*$H$5</f>
        <v>46178.317999999999</v>
      </c>
      <c r="I130" s="21">
        <f>H130-(1471085+2237239+429854+2062761)/1000*$H$5</f>
        <v>39977.379000000001</v>
      </c>
      <c r="J130" s="58" t="s">
        <v>537</v>
      </c>
      <c r="K130" s="15"/>
      <c r="L130" s="62" t="s">
        <v>388</v>
      </c>
    </row>
    <row r="131" spans="1:12" ht="36" customHeight="1" x14ac:dyDescent="0.2">
      <c r="A131" s="17" t="s">
        <v>400</v>
      </c>
      <c r="B131" s="93" t="s">
        <v>404</v>
      </c>
      <c r="C131" s="597"/>
      <c r="D131" s="172" t="s">
        <v>401</v>
      </c>
      <c r="E131" s="58" t="s">
        <v>386</v>
      </c>
      <c r="F131" s="12" t="s">
        <v>177</v>
      </c>
      <c r="G131" s="12" t="s">
        <v>177</v>
      </c>
      <c r="H131" s="97">
        <f>(1750000)/1000*$H$5</f>
        <v>1750</v>
      </c>
      <c r="I131" s="97">
        <f>H131-(0)/1000*$H$5</f>
        <v>1750</v>
      </c>
      <c r="J131" s="109" t="s">
        <v>386</v>
      </c>
      <c r="K131" s="110"/>
      <c r="L131" s="62" t="s">
        <v>401</v>
      </c>
    </row>
    <row r="132" spans="1:12" ht="36" x14ac:dyDescent="0.2">
      <c r="A132" s="17" t="s">
        <v>403</v>
      </c>
      <c r="B132" s="92" t="s">
        <v>407</v>
      </c>
      <c r="C132" s="597"/>
      <c r="D132" s="186" t="s">
        <v>411</v>
      </c>
      <c r="E132" s="2" t="s">
        <v>386</v>
      </c>
      <c r="F132" s="12" t="s">
        <v>126</v>
      </c>
      <c r="G132" s="12" t="s">
        <v>8</v>
      </c>
      <c r="H132" s="13">
        <f>(900000)/1000*$H$5</f>
        <v>900</v>
      </c>
      <c r="I132" s="13">
        <f>H132-(0)/1000*$H$5</f>
        <v>900</v>
      </c>
      <c r="J132" s="109" t="s">
        <v>405</v>
      </c>
      <c r="K132" s="32"/>
      <c r="L132" s="62" t="s">
        <v>411</v>
      </c>
    </row>
    <row r="133" spans="1:12" ht="36" x14ac:dyDescent="0.2">
      <c r="A133" s="17" t="s">
        <v>408</v>
      </c>
      <c r="B133" s="7" t="s">
        <v>406</v>
      </c>
      <c r="C133" s="597"/>
      <c r="D133" s="186" t="s">
        <v>412</v>
      </c>
      <c r="E133" s="2" t="s">
        <v>409</v>
      </c>
      <c r="F133" s="11" t="s">
        <v>410</v>
      </c>
      <c r="G133" s="11" t="s">
        <v>410</v>
      </c>
      <c r="H133" s="13">
        <f>(840000)/1000*$H$5</f>
        <v>840</v>
      </c>
      <c r="I133" s="13">
        <f t="shared" ref="I133:I138" si="5">H133-(0)/1000*$H$5</f>
        <v>840</v>
      </c>
      <c r="J133" s="2" t="s">
        <v>409</v>
      </c>
      <c r="K133" s="3"/>
      <c r="L133" s="1" t="s">
        <v>412</v>
      </c>
    </row>
    <row r="134" spans="1:12" ht="36" x14ac:dyDescent="0.2">
      <c r="A134" s="17" t="s">
        <v>416</v>
      </c>
      <c r="B134" s="7" t="s">
        <v>413</v>
      </c>
      <c r="C134" s="597"/>
      <c r="D134" s="172" t="s">
        <v>425</v>
      </c>
      <c r="E134" s="119" t="s">
        <v>992</v>
      </c>
      <c r="F134" s="11" t="s">
        <v>12</v>
      </c>
      <c r="G134" s="11" t="s">
        <v>52</v>
      </c>
      <c r="H134" s="13">
        <f>(1150000)/1000*$H$5</f>
        <v>1150</v>
      </c>
      <c r="I134" s="13">
        <f t="shared" si="5"/>
        <v>1150</v>
      </c>
      <c r="J134" s="2" t="s">
        <v>414</v>
      </c>
      <c r="K134" s="3"/>
      <c r="L134" s="1" t="s">
        <v>425</v>
      </c>
    </row>
    <row r="135" spans="1:12" ht="36" x14ac:dyDescent="0.2">
      <c r="A135" s="45" t="s">
        <v>417</v>
      </c>
      <c r="B135" s="94" t="s">
        <v>415</v>
      </c>
      <c r="C135" s="597"/>
      <c r="D135" s="172"/>
      <c r="E135" s="119"/>
      <c r="F135" s="18"/>
      <c r="G135" s="18"/>
      <c r="H135" s="96"/>
      <c r="I135" s="96"/>
      <c r="J135" s="108"/>
      <c r="K135" s="14"/>
    </row>
    <row r="136" spans="1:12" ht="33.75" x14ac:dyDescent="0.2">
      <c r="A136" s="16" t="s">
        <v>418</v>
      </c>
      <c r="B136" s="92" t="s">
        <v>419</v>
      </c>
      <c r="C136" s="597"/>
      <c r="D136" s="172" t="s">
        <v>424</v>
      </c>
      <c r="E136" s="119" t="s">
        <v>422</v>
      </c>
      <c r="F136" s="19" t="s">
        <v>12</v>
      </c>
      <c r="G136" s="19" t="s">
        <v>52</v>
      </c>
      <c r="H136" s="21">
        <f>(1291000)/1000*$H$5</f>
        <v>1291</v>
      </c>
      <c r="I136" s="21">
        <f t="shared" si="5"/>
        <v>1291</v>
      </c>
      <c r="J136" s="58" t="s">
        <v>422</v>
      </c>
      <c r="K136" s="15"/>
      <c r="L136" s="1" t="s">
        <v>424</v>
      </c>
    </row>
    <row r="137" spans="1:12" ht="33.75" x14ac:dyDescent="0.2">
      <c r="A137" s="17" t="s">
        <v>421</v>
      </c>
      <c r="B137" s="93" t="s">
        <v>420</v>
      </c>
      <c r="C137" s="597"/>
      <c r="D137" s="172" t="s">
        <v>423</v>
      </c>
      <c r="E137" s="119" t="s">
        <v>422</v>
      </c>
      <c r="F137" s="12" t="s">
        <v>49</v>
      </c>
      <c r="G137" s="12" t="s">
        <v>52</v>
      </c>
      <c r="H137" s="97">
        <f>(1227945)/1000*$H$5</f>
        <v>1227.9449999999999</v>
      </c>
      <c r="I137" s="97">
        <f t="shared" si="5"/>
        <v>1227.9449999999999</v>
      </c>
      <c r="J137" s="109" t="s">
        <v>422</v>
      </c>
      <c r="K137" s="110"/>
      <c r="L137" s="1" t="s">
        <v>423</v>
      </c>
    </row>
    <row r="138" spans="1:12" ht="36" x14ac:dyDescent="0.2">
      <c r="A138" s="17" t="s">
        <v>434</v>
      </c>
      <c r="B138" s="65" t="s">
        <v>426</v>
      </c>
      <c r="C138" s="598"/>
      <c r="D138" s="179" t="s">
        <v>429</v>
      </c>
      <c r="E138" s="120" t="s">
        <v>428</v>
      </c>
      <c r="F138" s="11" t="s">
        <v>427</v>
      </c>
      <c r="G138" s="11" t="s">
        <v>5</v>
      </c>
      <c r="H138" s="13">
        <f>(550000)/1000*$H$5</f>
        <v>550</v>
      </c>
      <c r="I138" s="13">
        <f t="shared" si="5"/>
        <v>550</v>
      </c>
      <c r="J138" s="2" t="s">
        <v>428</v>
      </c>
      <c r="K138" s="3"/>
      <c r="L138" s="1" t="s">
        <v>429</v>
      </c>
    </row>
    <row r="139" spans="1:12" ht="228" x14ac:dyDescent="0.2">
      <c r="A139" s="17">
        <v>26</v>
      </c>
      <c r="B139" s="2" t="s">
        <v>804</v>
      </c>
      <c r="C139" s="596" t="s">
        <v>28</v>
      </c>
      <c r="D139" s="171" t="s">
        <v>994</v>
      </c>
      <c r="E139" s="118" t="s">
        <v>993</v>
      </c>
      <c r="F139" s="18" t="s">
        <v>14</v>
      </c>
      <c r="G139" s="18" t="s">
        <v>11</v>
      </c>
      <c r="H139" s="21">
        <f>(390000000)/1000*$H$5</f>
        <v>390000</v>
      </c>
      <c r="I139" s="13">
        <f>H139-(10473000+2569000+38773249+1655506+4134020+386559+17036387+15325570+15342207+3454876+1477757+74199+980000)/1000*$H$5</f>
        <v>278317.67</v>
      </c>
      <c r="J139" s="2" t="s">
        <v>805</v>
      </c>
      <c r="K139" s="9"/>
    </row>
    <row r="140" spans="1:12" ht="96" x14ac:dyDescent="0.2">
      <c r="A140" s="17" t="s">
        <v>435</v>
      </c>
      <c r="B140" s="67" t="s">
        <v>803</v>
      </c>
      <c r="C140" s="598"/>
      <c r="D140" s="186" t="s">
        <v>995</v>
      </c>
      <c r="E140" s="2" t="s">
        <v>422</v>
      </c>
      <c r="F140" s="11" t="s">
        <v>84</v>
      </c>
      <c r="G140" s="11" t="s">
        <v>7</v>
      </c>
      <c r="H140" s="111">
        <f>(13244584)/1000*$H$5</f>
        <v>13244.584000000001</v>
      </c>
      <c r="I140" s="13">
        <f>H140-(3944931+1927740)/1000*$H$5</f>
        <v>7371.9130000000005</v>
      </c>
      <c r="J140" s="2" t="s">
        <v>430</v>
      </c>
      <c r="K140" s="3"/>
    </row>
    <row r="141" spans="1:12" ht="108" x14ac:dyDescent="0.2">
      <c r="A141" s="17" t="s">
        <v>436</v>
      </c>
      <c r="B141" s="67" t="s">
        <v>432</v>
      </c>
      <c r="C141" s="71" t="s">
        <v>433</v>
      </c>
      <c r="D141" s="180" t="s">
        <v>997</v>
      </c>
      <c r="E141" s="71" t="s">
        <v>996</v>
      </c>
      <c r="F141" s="11" t="s">
        <v>84</v>
      </c>
      <c r="G141" s="11" t="s">
        <v>84</v>
      </c>
      <c r="H141" s="13">
        <f>(500000)/1000*$H$5</f>
        <v>500</v>
      </c>
      <c r="I141" s="13">
        <f>H141-(0)/1000*$H$5</f>
        <v>500</v>
      </c>
      <c r="J141" s="2" t="s">
        <v>431</v>
      </c>
      <c r="K141" s="3"/>
    </row>
    <row r="142" spans="1:12" ht="172.5" customHeight="1" x14ac:dyDescent="0.2">
      <c r="A142" s="17" t="s">
        <v>437</v>
      </c>
      <c r="B142" s="94" t="s">
        <v>765</v>
      </c>
      <c r="C142" s="71" t="s">
        <v>652</v>
      </c>
      <c r="D142" s="180" t="s">
        <v>587</v>
      </c>
      <c r="E142" s="71" t="s">
        <v>998</v>
      </c>
      <c r="F142" s="11" t="s">
        <v>14</v>
      </c>
      <c r="G142" s="11" t="s">
        <v>586</v>
      </c>
      <c r="H142" s="97">
        <f>(119096424)/1000*$H$5</f>
        <v>119096.424</v>
      </c>
      <c r="I142" s="97">
        <f>H142-(4720342+9389674+2380253+20611493+1300885+1430964+661059)/1000*$H$5</f>
        <v>78601.754000000001</v>
      </c>
      <c r="J142" s="2" t="s">
        <v>585</v>
      </c>
      <c r="K142" s="3"/>
      <c r="L142" s="1" t="s">
        <v>587</v>
      </c>
    </row>
    <row r="143" spans="1:12" ht="172.5" customHeight="1" x14ac:dyDescent="0.2">
      <c r="A143" s="17" t="s">
        <v>447</v>
      </c>
      <c r="B143" s="94" t="s">
        <v>625</v>
      </c>
      <c r="C143" s="71" t="s">
        <v>653</v>
      </c>
      <c r="D143" s="180" t="s">
        <v>626</v>
      </c>
      <c r="E143" s="71" t="s">
        <v>998</v>
      </c>
      <c r="F143" s="11" t="s">
        <v>95</v>
      </c>
      <c r="G143" s="11" t="s">
        <v>11</v>
      </c>
      <c r="H143" s="97">
        <f>(19671702+1204838+5361278)/1000*$H$5</f>
        <v>26237.817999999999</v>
      </c>
      <c r="I143" s="97">
        <f>H143-(1399023+56345+1515335)/1000*$H$5</f>
        <v>23267.114999999998</v>
      </c>
      <c r="J143" s="2" t="s">
        <v>627</v>
      </c>
      <c r="K143" s="3"/>
      <c r="L143" s="1" t="s">
        <v>626</v>
      </c>
    </row>
    <row r="144" spans="1:12" ht="39.75" customHeight="1" x14ac:dyDescent="0.2">
      <c r="A144" s="45" t="s">
        <v>450</v>
      </c>
      <c r="B144" s="94" t="s">
        <v>677</v>
      </c>
      <c r="C144" s="585" t="s">
        <v>675</v>
      </c>
      <c r="D144" s="175"/>
      <c r="E144" s="115"/>
      <c r="F144" s="18"/>
      <c r="G144" s="18"/>
      <c r="H144" s="96">
        <f>(0)/1000*$H$5</f>
        <v>0</v>
      </c>
      <c r="I144" s="96">
        <f>H144-(0)/1000*$H$5</f>
        <v>0</v>
      </c>
      <c r="J144" s="108"/>
      <c r="K144" s="14"/>
    </row>
    <row r="145" spans="1:12" ht="33.75" x14ac:dyDescent="0.2">
      <c r="A145" s="16" t="s">
        <v>454</v>
      </c>
      <c r="B145" s="92" t="s">
        <v>438</v>
      </c>
      <c r="C145" s="586"/>
      <c r="D145" s="173" t="s">
        <v>441</v>
      </c>
      <c r="E145" s="116" t="s">
        <v>498</v>
      </c>
      <c r="F145" s="19" t="s">
        <v>439</v>
      </c>
      <c r="G145" s="19" t="s">
        <v>126</v>
      </c>
      <c r="H145" s="21">
        <f>(7168312)/1000*$H$5</f>
        <v>7168.3119999999999</v>
      </c>
      <c r="I145" s="21">
        <f>H145-(803199)/1000*$H$5</f>
        <v>6365.1130000000003</v>
      </c>
      <c r="J145" s="58" t="s">
        <v>438</v>
      </c>
      <c r="K145" s="15"/>
      <c r="L145" s="1" t="s">
        <v>441</v>
      </c>
    </row>
    <row r="146" spans="1:12" ht="72" x14ac:dyDescent="0.2">
      <c r="A146" s="16" t="s">
        <v>455</v>
      </c>
      <c r="B146" s="92" t="s">
        <v>443</v>
      </c>
      <c r="C146" s="586"/>
      <c r="D146" s="173" t="s">
        <v>442</v>
      </c>
      <c r="E146" s="116" t="s">
        <v>498</v>
      </c>
      <c r="F146" s="19" t="s">
        <v>119</v>
      </c>
      <c r="G146" s="19" t="s">
        <v>295</v>
      </c>
      <c r="H146" s="21">
        <f>(14067218)/1000*$H$5</f>
        <v>14067.218000000001</v>
      </c>
      <c r="I146" s="21">
        <f>H146-(0)/1000*$H$5</f>
        <v>14067.218000000001</v>
      </c>
      <c r="J146" s="58" t="s">
        <v>446</v>
      </c>
      <c r="K146" s="15"/>
      <c r="L146" s="1" t="s">
        <v>442</v>
      </c>
    </row>
    <row r="147" spans="1:12" ht="72" x14ac:dyDescent="0.2">
      <c r="A147" s="17" t="s">
        <v>463</v>
      </c>
      <c r="B147" s="93" t="s">
        <v>444</v>
      </c>
      <c r="C147" s="586"/>
      <c r="D147" s="173" t="s">
        <v>440</v>
      </c>
      <c r="E147" s="116" t="s">
        <v>498</v>
      </c>
      <c r="F147" s="19" t="s">
        <v>8</v>
      </c>
      <c r="G147" s="19" t="s">
        <v>56</v>
      </c>
      <c r="H147" s="21">
        <f>(24083149)/1000*$H$5</f>
        <v>24083.149000000001</v>
      </c>
      <c r="I147" s="21">
        <f>H147-(0)/1000*$H$5</f>
        <v>24083.149000000001</v>
      </c>
      <c r="J147" s="58" t="s">
        <v>445</v>
      </c>
      <c r="K147" s="15"/>
      <c r="L147" s="1" t="s">
        <v>440</v>
      </c>
    </row>
    <row r="148" spans="1:12" ht="60" x14ac:dyDescent="0.2">
      <c r="A148" s="112" t="s">
        <v>543</v>
      </c>
      <c r="B148" s="4" t="s">
        <v>676</v>
      </c>
      <c r="C148" s="587"/>
      <c r="D148" s="174" t="s">
        <v>448</v>
      </c>
      <c r="E148" s="117" t="s">
        <v>467</v>
      </c>
      <c r="F148" s="11" t="s">
        <v>177</v>
      </c>
      <c r="G148" s="11" t="s">
        <v>48</v>
      </c>
      <c r="H148" s="111">
        <f>(24894319)/1000*$H$5</f>
        <v>24894.319</v>
      </c>
      <c r="I148" s="111">
        <f>H148-(1597047)/1000*$H$5</f>
        <v>23297.272000000001</v>
      </c>
      <c r="J148" s="2" t="s">
        <v>449</v>
      </c>
      <c r="K148" s="3"/>
      <c r="L148" s="1" t="s">
        <v>448</v>
      </c>
    </row>
    <row r="149" spans="1:12" s="60" customFormat="1" ht="112.5" customHeight="1" x14ac:dyDescent="0.2">
      <c r="A149" s="75" t="s">
        <v>552</v>
      </c>
      <c r="B149" s="70" t="s">
        <v>676</v>
      </c>
      <c r="C149" s="76" t="s">
        <v>402</v>
      </c>
      <c r="D149" s="181" t="s">
        <v>1000</v>
      </c>
      <c r="E149" s="122" t="s">
        <v>999</v>
      </c>
      <c r="F149" s="77" t="s">
        <v>124</v>
      </c>
      <c r="G149" s="77" t="s">
        <v>54</v>
      </c>
      <c r="H149" s="13">
        <f>(1490000)/1000*$H$5</f>
        <v>1490</v>
      </c>
      <c r="I149" s="13">
        <f>H149-(0)/1000*$H$5</f>
        <v>1490</v>
      </c>
      <c r="J149" s="66" t="s">
        <v>556</v>
      </c>
      <c r="K149" s="78"/>
    </row>
    <row r="150" spans="1:12" s="60" customFormat="1" ht="120" customHeight="1" x14ac:dyDescent="0.2">
      <c r="A150" s="75" t="s">
        <v>678</v>
      </c>
      <c r="B150" s="70" t="s">
        <v>547</v>
      </c>
      <c r="C150" s="582" t="s">
        <v>766</v>
      </c>
      <c r="D150" s="182" t="s">
        <v>551</v>
      </c>
      <c r="E150" s="121" t="s">
        <v>998</v>
      </c>
      <c r="F150" s="592" t="s">
        <v>6</v>
      </c>
      <c r="G150" s="592" t="s">
        <v>7</v>
      </c>
      <c r="H150" s="594">
        <f>(444005270)/1000*$H$5</f>
        <v>444005.27</v>
      </c>
      <c r="I150" s="594">
        <f>H150-(1802298+116204+5445957+4438015+332211+8285705+1361841+6213406+130743)/1000*$H$5</f>
        <v>415878.89</v>
      </c>
      <c r="J150" s="66" t="s">
        <v>26</v>
      </c>
      <c r="K150" s="78"/>
      <c r="L150" s="60" t="s">
        <v>551</v>
      </c>
    </row>
    <row r="151" spans="1:12" s="60" customFormat="1" ht="114.75" customHeight="1" x14ac:dyDescent="0.2">
      <c r="A151" s="75" t="s">
        <v>679</v>
      </c>
      <c r="B151" s="70" t="s">
        <v>548</v>
      </c>
      <c r="C151" s="584"/>
      <c r="D151" s="181"/>
      <c r="E151" s="122"/>
      <c r="F151" s="593"/>
      <c r="G151" s="593"/>
      <c r="H151" s="595"/>
      <c r="I151" s="595"/>
      <c r="J151" s="66" t="s">
        <v>767</v>
      </c>
      <c r="K151" s="78"/>
    </row>
    <row r="152" spans="1:12" s="60" customFormat="1" ht="108" x14ac:dyDescent="0.2">
      <c r="A152" s="75" t="s">
        <v>680</v>
      </c>
      <c r="B152" s="70" t="s">
        <v>1001</v>
      </c>
      <c r="C152" s="81" t="s">
        <v>769</v>
      </c>
      <c r="D152" s="181" t="s">
        <v>581</v>
      </c>
      <c r="E152" s="122" t="s">
        <v>371</v>
      </c>
      <c r="F152" s="82" t="s">
        <v>4</v>
      </c>
      <c r="G152" s="82" t="s">
        <v>24</v>
      </c>
      <c r="H152" s="83">
        <f>(37438795+4559067)/1000*$H$5</f>
        <v>41997.862000000001</v>
      </c>
      <c r="I152" s="83">
        <f>H152-(0)/1000*$H$5</f>
        <v>41997.862000000001</v>
      </c>
      <c r="J152" s="66" t="s">
        <v>681</v>
      </c>
      <c r="K152" s="78"/>
      <c r="L152" s="60" t="s">
        <v>581</v>
      </c>
    </row>
    <row r="153" spans="1:12" s="60" customFormat="1" ht="102" customHeight="1" x14ac:dyDescent="0.2">
      <c r="A153" s="75" t="s">
        <v>682</v>
      </c>
      <c r="B153" s="70" t="s">
        <v>557</v>
      </c>
      <c r="C153" s="582" t="s">
        <v>770</v>
      </c>
      <c r="D153" s="182" t="s">
        <v>562</v>
      </c>
      <c r="E153" s="121" t="s">
        <v>558</v>
      </c>
      <c r="F153" s="77" t="s">
        <v>46</v>
      </c>
      <c r="G153" s="77" t="s">
        <v>52</v>
      </c>
      <c r="H153" s="13">
        <f>(12510963+537851)/1000*$H$5</f>
        <v>13048.814</v>
      </c>
      <c r="I153" s="13">
        <f>H153-(0)/1000*$H$5</f>
        <v>13048.814</v>
      </c>
      <c r="J153" s="66" t="s">
        <v>558</v>
      </c>
      <c r="K153" s="78"/>
      <c r="L153" s="60" t="s">
        <v>562</v>
      </c>
    </row>
    <row r="154" spans="1:12" s="60" customFormat="1" ht="60" x14ac:dyDescent="0.2">
      <c r="A154" s="75" t="s">
        <v>683</v>
      </c>
      <c r="B154" s="70" t="s">
        <v>579</v>
      </c>
      <c r="C154" s="584"/>
      <c r="D154" s="181" t="s">
        <v>580</v>
      </c>
      <c r="E154" s="122" t="s">
        <v>371</v>
      </c>
      <c r="F154" s="77" t="s">
        <v>488</v>
      </c>
      <c r="G154" s="77" t="s">
        <v>7</v>
      </c>
      <c r="H154" s="97">
        <f>(2281959)/1000*$H$5</f>
        <v>2281.9589999999998</v>
      </c>
      <c r="I154" s="97">
        <f>H154-(0)/1000*$H$5</f>
        <v>2281.9589999999998</v>
      </c>
      <c r="J154" s="66" t="s">
        <v>578</v>
      </c>
      <c r="K154" s="78"/>
      <c r="L154" s="60" t="s">
        <v>580</v>
      </c>
    </row>
    <row r="155" spans="1:12" s="60" customFormat="1" ht="48" x14ac:dyDescent="0.2">
      <c r="A155" s="75" t="s">
        <v>684</v>
      </c>
      <c r="B155" s="70" t="s">
        <v>771</v>
      </c>
      <c r="C155" s="95" t="s">
        <v>632</v>
      </c>
      <c r="D155" s="181" t="s">
        <v>634</v>
      </c>
      <c r="E155" s="122" t="s">
        <v>633</v>
      </c>
      <c r="F155" s="77" t="s">
        <v>101</v>
      </c>
      <c r="G155" s="77" t="s">
        <v>103</v>
      </c>
      <c r="H155" s="97">
        <f>(7649009)/1000*$H$5</f>
        <v>7649.009</v>
      </c>
      <c r="I155" s="97">
        <f>H155-(0)/1000*$H$5</f>
        <v>7649.009</v>
      </c>
      <c r="J155" s="66" t="s">
        <v>633</v>
      </c>
      <c r="K155" s="78"/>
      <c r="L155" s="60" t="s">
        <v>634</v>
      </c>
    </row>
    <row r="156" spans="1:12" s="60" customFormat="1" ht="120" x14ac:dyDescent="0.2">
      <c r="A156" s="112" t="s">
        <v>685</v>
      </c>
      <c r="B156" s="4" t="s">
        <v>559</v>
      </c>
      <c r="C156" s="79" t="s">
        <v>772</v>
      </c>
      <c r="D156" s="181" t="s">
        <v>566</v>
      </c>
      <c r="E156" s="122" t="s">
        <v>1002</v>
      </c>
      <c r="F156" s="77" t="s">
        <v>427</v>
      </c>
      <c r="G156" s="77" t="s">
        <v>7</v>
      </c>
      <c r="H156" s="80">
        <f>(3700000)/1000*$H$5</f>
        <v>3700</v>
      </c>
      <c r="I156" s="80">
        <f>H156-(1300000)/1000*$H$5</f>
        <v>2400</v>
      </c>
      <c r="J156" s="66" t="s">
        <v>570</v>
      </c>
      <c r="K156" s="78"/>
      <c r="L156" s="60" t="s">
        <v>566</v>
      </c>
    </row>
    <row r="157" spans="1:12" s="60" customFormat="1" ht="140.25" customHeight="1" x14ac:dyDescent="0.2">
      <c r="A157" s="75" t="s">
        <v>688</v>
      </c>
      <c r="B157" s="70" t="s">
        <v>559</v>
      </c>
      <c r="C157" s="76" t="s">
        <v>773</v>
      </c>
      <c r="D157" s="181" t="s">
        <v>561</v>
      </c>
      <c r="E157" s="122" t="s">
        <v>1003</v>
      </c>
      <c r="F157" s="77" t="s">
        <v>54</v>
      </c>
      <c r="G157" s="77" t="s">
        <v>52</v>
      </c>
      <c r="H157" s="80">
        <f>(1555540)/1000*$H$5</f>
        <v>1555.54</v>
      </c>
      <c r="I157" s="80">
        <f>H157-(0)/1000*$H$5</f>
        <v>1555.54</v>
      </c>
      <c r="J157" s="66" t="s">
        <v>560</v>
      </c>
      <c r="K157" s="78"/>
      <c r="L157" s="60" t="s">
        <v>561</v>
      </c>
    </row>
    <row r="158" spans="1:12" s="60" customFormat="1" ht="168" x14ac:dyDescent="0.2">
      <c r="A158" s="75" t="s">
        <v>689</v>
      </c>
      <c r="B158" s="70" t="s">
        <v>364</v>
      </c>
      <c r="C158" s="85" t="s">
        <v>687</v>
      </c>
      <c r="D158" s="181" t="s">
        <v>592</v>
      </c>
      <c r="E158" s="122" t="s">
        <v>1004</v>
      </c>
      <c r="F158" s="77" t="s">
        <v>124</v>
      </c>
      <c r="G158" s="77" t="s">
        <v>7</v>
      </c>
      <c r="H158" s="86">
        <v>35340.406999999999</v>
      </c>
      <c r="I158" s="86">
        <v>35340.406999999999</v>
      </c>
      <c r="J158" s="66" t="s">
        <v>774</v>
      </c>
      <c r="K158" s="78"/>
      <c r="L158" s="60" t="s">
        <v>592</v>
      </c>
    </row>
    <row r="159" spans="1:12" s="60" customFormat="1" ht="228" x14ac:dyDescent="0.2">
      <c r="A159" s="75" t="s">
        <v>690</v>
      </c>
      <c r="B159" s="70" t="s">
        <v>642</v>
      </c>
      <c r="C159" s="95" t="s">
        <v>654</v>
      </c>
      <c r="D159" s="181" t="s">
        <v>644</v>
      </c>
      <c r="E159" s="122" t="s">
        <v>1005</v>
      </c>
      <c r="F159" s="77" t="s">
        <v>107</v>
      </c>
      <c r="G159" s="77" t="s">
        <v>63</v>
      </c>
      <c r="H159" s="97">
        <f>(21476783)/1000*$H$5</f>
        <v>21476.782999999999</v>
      </c>
      <c r="I159" s="97">
        <f>H159-(0)/1000*$H$5</f>
        <v>21476.782999999999</v>
      </c>
      <c r="J159" s="66" t="s">
        <v>643</v>
      </c>
      <c r="K159" s="78"/>
      <c r="L159" s="60" t="s">
        <v>644</v>
      </c>
    </row>
    <row r="160" spans="1:12" s="60" customFormat="1" ht="174" customHeight="1" x14ac:dyDescent="0.2">
      <c r="A160" s="75" t="s">
        <v>691</v>
      </c>
      <c r="B160" s="70" t="s">
        <v>645</v>
      </c>
      <c r="C160" s="95" t="s">
        <v>692</v>
      </c>
      <c r="D160" s="181" t="s">
        <v>1006</v>
      </c>
      <c r="E160" s="122" t="s">
        <v>371</v>
      </c>
      <c r="F160" s="77" t="s">
        <v>16</v>
      </c>
      <c r="G160" s="77" t="s">
        <v>63</v>
      </c>
      <c r="H160" s="97">
        <f>(89000000)/1000*$H$5</f>
        <v>89000</v>
      </c>
      <c r="I160" s="97">
        <f>H160-(0)/1000*$H$5</f>
        <v>89000</v>
      </c>
      <c r="J160" s="66" t="s">
        <v>646</v>
      </c>
      <c r="K160" s="78"/>
    </row>
    <row r="161" spans="1:13" s="60" customFormat="1" ht="120" x14ac:dyDescent="0.2">
      <c r="A161" s="75" t="s">
        <v>693</v>
      </c>
      <c r="B161" s="70" t="s">
        <v>582</v>
      </c>
      <c r="C161" s="76" t="s">
        <v>655</v>
      </c>
      <c r="D161" s="181" t="s">
        <v>583</v>
      </c>
      <c r="E161" s="122" t="s">
        <v>584</v>
      </c>
      <c r="F161" s="77" t="s">
        <v>14</v>
      </c>
      <c r="G161" s="77" t="s">
        <v>91</v>
      </c>
      <c r="H161" s="13">
        <f>(2201287+41913)/1000*$H$5</f>
        <v>2243.1999999999998</v>
      </c>
      <c r="I161" s="13">
        <f>H161-(0)/1000*$H$5</f>
        <v>2243.1999999999998</v>
      </c>
      <c r="J161" s="66" t="s">
        <v>584</v>
      </c>
      <c r="K161" s="78"/>
      <c r="L161" s="60" t="s">
        <v>583</v>
      </c>
    </row>
    <row r="162" spans="1:13" s="60" customFormat="1" ht="88.5" customHeight="1" x14ac:dyDescent="0.2">
      <c r="A162" s="75" t="s">
        <v>694</v>
      </c>
      <c r="B162" s="70" t="s">
        <v>590</v>
      </c>
      <c r="C162" s="582" t="s">
        <v>775</v>
      </c>
      <c r="D162" s="182" t="s">
        <v>588</v>
      </c>
      <c r="E162" s="121" t="s">
        <v>1007</v>
      </c>
      <c r="F162" s="77" t="s">
        <v>35</v>
      </c>
      <c r="G162" s="77" t="s">
        <v>230</v>
      </c>
      <c r="H162" s="13">
        <f>(3829000-217990)/1000*$H$5</f>
        <v>3611.01</v>
      </c>
      <c r="I162" s="13">
        <f>H162-(262712)/1000*$H$5</f>
        <v>3348.2980000000002</v>
      </c>
      <c r="J162" s="66" t="s">
        <v>776</v>
      </c>
      <c r="K162" s="78"/>
      <c r="L162" s="60" t="s">
        <v>588</v>
      </c>
    </row>
    <row r="163" spans="1:13" s="60" customFormat="1" ht="82.5" customHeight="1" x14ac:dyDescent="0.2">
      <c r="A163" s="75" t="s">
        <v>695</v>
      </c>
      <c r="B163" s="70" t="s">
        <v>777</v>
      </c>
      <c r="C163" s="584"/>
      <c r="D163" s="181" t="s">
        <v>1008</v>
      </c>
      <c r="E163" s="122" t="s">
        <v>1007</v>
      </c>
      <c r="F163" s="77" t="s">
        <v>7</v>
      </c>
      <c r="G163" s="113" t="s">
        <v>91</v>
      </c>
      <c r="H163" s="114">
        <f>(4794400)/1000*$H$5</f>
        <v>4794.3999999999996</v>
      </c>
      <c r="I163" s="114">
        <f>H163-(0)/1000*$H$5</f>
        <v>4794.3999999999996</v>
      </c>
      <c r="J163" s="66" t="s">
        <v>591</v>
      </c>
      <c r="K163" s="78"/>
      <c r="L163" s="60" t="s">
        <v>589</v>
      </c>
    </row>
    <row r="164" spans="1:13" s="60" customFormat="1" ht="67.5" customHeight="1" x14ac:dyDescent="0.2">
      <c r="A164" s="75" t="s">
        <v>696</v>
      </c>
      <c r="B164" s="74" t="s">
        <v>778</v>
      </c>
      <c r="C164" s="585" t="s">
        <v>593</v>
      </c>
      <c r="D164" s="175" t="s">
        <v>596</v>
      </c>
      <c r="E164" s="115" t="s">
        <v>595</v>
      </c>
      <c r="F164" s="18" t="s">
        <v>91</v>
      </c>
      <c r="G164" s="18" t="s">
        <v>11</v>
      </c>
      <c r="H164" s="21">
        <f>(643438996)/1000*$H$5</f>
        <v>643438.99600000004</v>
      </c>
      <c r="I164" s="13">
        <f>H164-(323242749+25894212+30130843+582706+506567+6431012+9466678+2847445+3299873+1773039+730584+2798678+4434391+900000+2970163)/1000*$H$5</f>
        <v>227430.05600000004</v>
      </c>
      <c r="J164" s="2" t="s">
        <v>595</v>
      </c>
      <c r="K164" s="3"/>
      <c r="L164" s="60" t="s">
        <v>596</v>
      </c>
    </row>
    <row r="165" spans="1:13" s="60" customFormat="1" ht="93" customHeight="1" x14ac:dyDescent="0.2">
      <c r="A165" s="75" t="s">
        <v>697</v>
      </c>
      <c r="B165" s="87" t="s">
        <v>594</v>
      </c>
      <c r="C165" s="586"/>
      <c r="D165" s="180" t="s">
        <v>597</v>
      </c>
      <c r="E165" s="71" t="s">
        <v>1009</v>
      </c>
      <c r="F165" s="11" t="s">
        <v>211</v>
      </c>
      <c r="G165" s="11" t="s">
        <v>11</v>
      </c>
      <c r="H165" s="111">
        <f>(85900080)/1000*$H$5</f>
        <v>85900.08</v>
      </c>
      <c r="I165" s="86">
        <f>H165-(2220688+614603+606803)/1000*$H$5</f>
        <v>82457.986000000004</v>
      </c>
      <c r="J165" s="2" t="s">
        <v>779</v>
      </c>
      <c r="K165" s="3"/>
      <c r="L165" s="60" t="s">
        <v>597</v>
      </c>
    </row>
    <row r="166" spans="1:13" s="60" customFormat="1" ht="168" x14ac:dyDescent="0.2">
      <c r="A166" s="75" t="s">
        <v>698</v>
      </c>
      <c r="B166" s="87" t="s">
        <v>780</v>
      </c>
      <c r="C166" s="587"/>
      <c r="D166" s="174" t="s">
        <v>1010</v>
      </c>
      <c r="E166" s="71" t="s">
        <v>998</v>
      </c>
      <c r="F166" s="12" t="s">
        <v>11</v>
      </c>
      <c r="G166" s="12" t="s">
        <v>598</v>
      </c>
      <c r="H166" s="86">
        <f>(142758713)/1000*$H$5</f>
        <v>142758.71299999999</v>
      </c>
      <c r="I166" s="86">
        <f>H166-(3974529+2178400+550000+3601754+7356265+501298)/1000*$H$5</f>
        <v>124596.46699999999</v>
      </c>
      <c r="J166" s="84" t="s">
        <v>781</v>
      </c>
      <c r="K166" s="3"/>
    </row>
    <row r="167" spans="1:13" s="60" customFormat="1" ht="69" customHeight="1" x14ac:dyDescent="0.2">
      <c r="A167" s="75" t="s">
        <v>700</v>
      </c>
      <c r="B167" s="70" t="s">
        <v>702</v>
      </c>
      <c r="C167" s="76" t="s">
        <v>701</v>
      </c>
      <c r="D167" s="181" t="s">
        <v>568</v>
      </c>
      <c r="E167" s="122" t="s">
        <v>1011</v>
      </c>
      <c r="F167" s="77" t="s">
        <v>569</v>
      </c>
      <c r="G167" s="77" t="s">
        <v>91</v>
      </c>
      <c r="H167" s="13">
        <f>(18977634)/1000*$H$5</f>
        <v>18977.633999999998</v>
      </c>
      <c r="I167" s="13">
        <f>H167-(9713106)/1000*$H$5</f>
        <v>9264.5279999999984</v>
      </c>
      <c r="J167" s="79" t="s">
        <v>567</v>
      </c>
      <c r="K167" s="78"/>
      <c r="L167" s="60" t="s">
        <v>568</v>
      </c>
    </row>
    <row r="168" spans="1:13" s="60" customFormat="1" ht="72" x14ac:dyDescent="0.2">
      <c r="A168" s="75" t="s">
        <v>704</v>
      </c>
      <c r="B168" s="70" t="s">
        <v>782</v>
      </c>
      <c r="C168" s="76" t="s">
        <v>703</v>
      </c>
      <c r="D168" s="181" t="s">
        <v>614</v>
      </c>
      <c r="E168" s="122" t="s">
        <v>1012</v>
      </c>
      <c r="F168" s="77" t="s">
        <v>95</v>
      </c>
      <c r="G168" s="77" t="s">
        <v>104</v>
      </c>
      <c r="H168" s="13">
        <f>(10466390)/1000*$H$5</f>
        <v>10466.39</v>
      </c>
      <c r="I168" s="13">
        <f>H168-(0)/1000*$H$5</f>
        <v>10466.39</v>
      </c>
      <c r="J168" s="66" t="s">
        <v>615</v>
      </c>
      <c r="K168" s="78"/>
      <c r="L168" s="60" t="s">
        <v>614</v>
      </c>
    </row>
    <row r="169" spans="1:13" s="60" customFormat="1" ht="96" x14ac:dyDescent="0.2">
      <c r="A169" s="112" t="s">
        <v>705</v>
      </c>
      <c r="B169" s="4" t="s">
        <v>783</v>
      </c>
      <c r="C169" s="131" t="s">
        <v>629</v>
      </c>
      <c r="D169" s="183" t="s">
        <v>1014</v>
      </c>
      <c r="E169" s="131" t="s">
        <v>1013</v>
      </c>
      <c r="F169" s="77" t="s">
        <v>95</v>
      </c>
      <c r="G169" s="77" t="s">
        <v>21</v>
      </c>
      <c r="H169" s="111">
        <f>(19971733.7)/1000*$H$5</f>
        <v>19971.733700000001</v>
      </c>
      <c r="I169" s="111">
        <f>H169-(0)/1000*$H$5</f>
        <v>19971.733700000001</v>
      </c>
      <c r="J169" s="66" t="s">
        <v>631</v>
      </c>
      <c r="K169" s="78"/>
      <c r="L169" s="68" t="s">
        <v>630</v>
      </c>
      <c r="M169" s="60">
        <v>19971733.699999999</v>
      </c>
    </row>
    <row r="170" spans="1:13" s="60" customFormat="1" ht="60" customHeight="1" x14ac:dyDescent="0.2">
      <c r="A170" s="16" t="s">
        <v>706</v>
      </c>
      <c r="B170" s="70" t="s">
        <v>784</v>
      </c>
      <c r="C170" s="582" t="s">
        <v>571</v>
      </c>
      <c r="D170" s="176"/>
      <c r="E170" s="123"/>
      <c r="F170" s="19"/>
      <c r="G170" s="19"/>
      <c r="H170" s="21"/>
      <c r="I170" s="21"/>
      <c r="J170" s="58"/>
      <c r="K170" s="15"/>
    </row>
    <row r="171" spans="1:13" s="60" customFormat="1" ht="38.25" customHeight="1" x14ac:dyDescent="0.2">
      <c r="A171" s="16" t="s">
        <v>707</v>
      </c>
      <c r="B171" s="92" t="s">
        <v>785</v>
      </c>
      <c r="C171" s="583"/>
      <c r="D171" s="176" t="s">
        <v>573</v>
      </c>
      <c r="E171" s="123" t="s">
        <v>1015</v>
      </c>
      <c r="F171" s="19" t="s">
        <v>49</v>
      </c>
      <c r="G171" s="19" t="s">
        <v>7</v>
      </c>
      <c r="H171" s="21">
        <f>(7958431)/1000*$H$5</f>
        <v>7958.4309999999996</v>
      </c>
      <c r="I171" s="21">
        <f>H171-(0)/1000*$H$5</f>
        <v>7958.4309999999996</v>
      </c>
      <c r="J171" s="58" t="s">
        <v>572</v>
      </c>
      <c r="K171" s="15"/>
      <c r="L171" s="60" t="s">
        <v>573</v>
      </c>
    </row>
    <row r="172" spans="1:13" s="60" customFormat="1" ht="36" x14ac:dyDescent="0.2">
      <c r="A172" s="16" t="s">
        <v>708</v>
      </c>
      <c r="B172" s="92" t="s">
        <v>574</v>
      </c>
      <c r="C172" s="583"/>
      <c r="D172" s="176" t="s">
        <v>575</v>
      </c>
      <c r="E172" s="123" t="s">
        <v>1016</v>
      </c>
      <c r="F172" s="19" t="s">
        <v>52</v>
      </c>
      <c r="G172" s="19" t="s">
        <v>63</v>
      </c>
      <c r="H172" s="21">
        <f>(201397276)/1000*$H$5</f>
        <v>201397.27600000001</v>
      </c>
      <c r="I172" s="21">
        <f>H172-(2563200+6523166+2974576+382255)/1000*$H$5</f>
        <v>188954.07900000003</v>
      </c>
      <c r="J172" s="58" t="s">
        <v>1017</v>
      </c>
      <c r="K172" s="15"/>
      <c r="L172" s="60" t="s">
        <v>575</v>
      </c>
    </row>
    <row r="173" spans="1:13" s="60" customFormat="1" ht="36" x14ac:dyDescent="0.2">
      <c r="A173" s="16" t="s">
        <v>709</v>
      </c>
      <c r="B173" s="92" t="s">
        <v>576</v>
      </c>
      <c r="C173" s="583"/>
      <c r="D173" s="176" t="s">
        <v>577</v>
      </c>
      <c r="E173" s="123" t="s">
        <v>1028</v>
      </c>
      <c r="F173" s="19" t="s">
        <v>488</v>
      </c>
      <c r="G173" s="19" t="s">
        <v>19</v>
      </c>
      <c r="H173" s="21">
        <f>(17518524)/1000*$H$5</f>
        <v>17518.524000000001</v>
      </c>
      <c r="I173" s="21">
        <f>H173-(0)/1000*$H$5</f>
        <v>17518.524000000001</v>
      </c>
      <c r="J173" s="58"/>
      <c r="K173" s="15"/>
      <c r="L173" s="60" t="s">
        <v>577</v>
      </c>
    </row>
    <row r="174" spans="1:13" s="60" customFormat="1" ht="42" customHeight="1" x14ac:dyDescent="0.2">
      <c r="A174" s="16" t="s">
        <v>710</v>
      </c>
      <c r="B174" s="92" t="s">
        <v>599</v>
      </c>
      <c r="C174" s="583"/>
      <c r="D174" s="176" t="s">
        <v>603</v>
      </c>
      <c r="E174" s="123" t="s">
        <v>716</v>
      </c>
      <c r="F174" s="19" t="s">
        <v>7</v>
      </c>
      <c r="G174" s="19" t="s">
        <v>11</v>
      </c>
      <c r="H174" s="21">
        <f>(43708282)/1000*$H$5</f>
        <v>43708.281999999999</v>
      </c>
      <c r="I174" s="21">
        <f>H174-(0)/1000*$H$5</f>
        <v>43708.281999999999</v>
      </c>
      <c r="J174" s="58" t="s">
        <v>716</v>
      </c>
      <c r="K174" s="15"/>
      <c r="L174" s="60" t="s">
        <v>603</v>
      </c>
      <c r="M174" s="60">
        <v>43708282</v>
      </c>
    </row>
    <row r="175" spans="1:13" s="60" customFormat="1" ht="38.25" customHeight="1" x14ac:dyDescent="0.2">
      <c r="A175" s="16" t="s">
        <v>711</v>
      </c>
      <c r="B175" s="92" t="s">
        <v>600</v>
      </c>
      <c r="C175" s="583"/>
      <c r="D175" s="176" t="s">
        <v>602</v>
      </c>
      <c r="E175" s="123" t="s">
        <v>1029</v>
      </c>
      <c r="F175" s="19" t="s">
        <v>86</v>
      </c>
      <c r="G175" s="19" t="s">
        <v>511</v>
      </c>
      <c r="H175" s="21">
        <f>(6500000)/1000*$H$5</f>
        <v>6500</v>
      </c>
      <c r="I175" s="21">
        <f>H175-(0)/1000*$H$5</f>
        <v>6500</v>
      </c>
      <c r="J175" s="58" t="s">
        <v>601</v>
      </c>
      <c r="K175" s="15"/>
      <c r="L175" s="60" t="s">
        <v>602</v>
      </c>
    </row>
    <row r="176" spans="1:13" s="60" customFormat="1" ht="48" x14ac:dyDescent="0.2">
      <c r="A176" s="16" t="s">
        <v>712</v>
      </c>
      <c r="B176" s="92" t="s">
        <v>604</v>
      </c>
      <c r="C176" s="583"/>
      <c r="D176" s="176" t="s">
        <v>605</v>
      </c>
      <c r="E176" s="123" t="s">
        <v>1030</v>
      </c>
      <c r="F176" s="19" t="s">
        <v>137</v>
      </c>
      <c r="G176" s="19" t="s">
        <v>15</v>
      </c>
      <c r="H176" s="21">
        <f>(35378118)/1000*$H$5</f>
        <v>35378.118000000002</v>
      </c>
      <c r="I176" s="21">
        <f>H176-(3938389+901930+3555281+3476986+654073)/1000*$H$5</f>
        <v>22851.459000000003</v>
      </c>
      <c r="J176" s="58" t="s">
        <v>717</v>
      </c>
      <c r="K176" s="15"/>
      <c r="L176" s="60" t="s">
        <v>605</v>
      </c>
    </row>
    <row r="177" spans="1:12" s="60" customFormat="1" ht="36" x14ac:dyDescent="0.2">
      <c r="A177" s="16" t="s">
        <v>713</v>
      </c>
      <c r="B177" s="92" t="s">
        <v>607</v>
      </c>
      <c r="C177" s="583"/>
      <c r="D177" s="176" t="s">
        <v>608</v>
      </c>
      <c r="E177" s="123" t="s">
        <v>718</v>
      </c>
      <c r="F177" s="19" t="s">
        <v>137</v>
      </c>
      <c r="G177" s="19" t="s">
        <v>606</v>
      </c>
      <c r="H177" s="21">
        <f>(33543354)/1000*$H$5</f>
        <v>33543.353999999999</v>
      </c>
      <c r="I177" s="21">
        <f>H177-(4632327+4377223+2736212)/1000*$H$5</f>
        <v>21797.591999999997</v>
      </c>
      <c r="J177" s="58" t="s">
        <v>718</v>
      </c>
      <c r="K177" s="15"/>
      <c r="L177" s="60" t="s">
        <v>608</v>
      </c>
    </row>
    <row r="178" spans="1:12" s="60" customFormat="1" ht="37.5" customHeight="1" x14ac:dyDescent="0.2">
      <c r="A178" s="16" t="s">
        <v>714</v>
      </c>
      <c r="B178" s="92" t="s">
        <v>607</v>
      </c>
      <c r="C178" s="583"/>
      <c r="D178" s="176" t="s">
        <v>609</v>
      </c>
      <c r="E178" s="123" t="s">
        <v>1031</v>
      </c>
      <c r="F178" s="19" t="s">
        <v>137</v>
      </c>
      <c r="G178" s="19" t="s">
        <v>610</v>
      </c>
      <c r="H178" s="21">
        <f>(20995727)/1000*$H$5</f>
        <v>20995.726999999999</v>
      </c>
      <c r="I178" s="21">
        <f>H178-(11424321)/1000*$H$5</f>
        <v>9571.405999999999</v>
      </c>
      <c r="J178" s="58" t="s">
        <v>719</v>
      </c>
      <c r="K178" s="15"/>
      <c r="L178" s="60" t="s">
        <v>609</v>
      </c>
    </row>
    <row r="179" spans="1:12" s="60" customFormat="1" ht="56.25" customHeight="1" x14ac:dyDescent="0.2">
      <c r="A179" s="75" t="s">
        <v>715</v>
      </c>
      <c r="B179" s="92" t="s">
        <v>611</v>
      </c>
      <c r="C179" s="584"/>
      <c r="D179" s="176" t="s">
        <v>612</v>
      </c>
      <c r="E179" s="123" t="s">
        <v>720</v>
      </c>
      <c r="F179" s="19" t="s">
        <v>95</v>
      </c>
      <c r="G179" s="19" t="s">
        <v>613</v>
      </c>
      <c r="H179" s="21">
        <f>(5000000)/1000*$H$5</f>
        <v>5000</v>
      </c>
      <c r="I179" s="21">
        <f>H179-(1932000)/1000*$H$5</f>
        <v>3068</v>
      </c>
      <c r="J179" s="58" t="s">
        <v>720</v>
      </c>
      <c r="K179" s="15"/>
      <c r="L179" s="60" t="s">
        <v>612</v>
      </c>
    </row>
    <row r="180" spans="1:12" ht="36.75" customHeight="1" x14ac:dyDescent="0.2">
      <c r="A180" s="16" t="s">
        <v>721</v>
      </c>
      <c r="B180" s="70" t="s">
        <v>787</v>
      </c>
      <c r="C180" s="585" t="s">
        <v>789</v>
      </c>
      <c r="D180" s="175"/>
      <c r="E180" s="115"/>
      <c r="F180" s="18"/>
      <c r="G180" s="18"/>
      <c r="H180" s="101">
        <f>(0)/1000*$H$5</f>
        <v>0</v>
      </c>
      <c r="I180" s="101">
        <f>H180-(0)/1000*$H$5</f>
        <v>0</v>
      </c>
      <c r="J180" s="99"/>
      <c r="K180" s="35"/>
    </row>
    <row r="181" spans="1:12" ht="45" x14ac:dyDescent="0.2">
      <c r="A181" s="16" t="s">
        <v>722</v>
      </c>
      <c r="B181" s="92" t="s">
        <v>788</v>
      </c>
      <c r="C181" s="586"/>
      <c r="D181" s="173" t="s">
        <v>452</v>
      </c>
      <c r="E181" s="116" t="s">
        <v>451</v>
      </c>
      <c r="F181" s="19" t="s">
        <v>176</v>
      </c>
      <c r="G181" s="19" t="s">
        <v>48</v>
      </c>
      <c r="H181" s="21">
        <f>(6900000+4477636)/1000*$H$5</f>
        <v>11377.636</v>
      </c>
      <c r="I181" s="21">
        <f t="shared" ref="I181:I195" si="6">H181-(0)/1000*$H$5</f>
        <v>11377.636</v>
      </c>
      <c r="J181" s="103" t="s">
        <v>451</v>
      </c>
      <c r="K181" s="34"/>
      <c r="L181" s="62" t="s">
        <v>452</v>
      </c>
    </row>
    <row r="182" spans="1:12" ht="54.75" customHeight="1" x14ac:dyDescent="0.2">
      <c r="A182" s="16" t="s">
        <v>723</v>
      </c>
      <c r="B182" s="92" t="s">
        <v>453</v>
      </c>
      <c r="C182" s="586"/>
      <c r="D182" s="173" t="s">
        <v>456</v>
      </c>
      <c r="E182" s="116" t="s">
        <v>498</v>
      </c>
      <c r="F182" s="19" t="s">
        <v>176</v>
      </c>
      <c r="G182" s="19" t="s">
        <v>181</v>
      </c>
      <c r="H182" s="21">
        <f>(11864407)/1000*$H$5</f>
        <v>11864.406999999999</v>
      </c>
      <c r="I182" s="21">
        <f t="shared" si="6"/>
        <v>11864.406999999999</v>
      </c>
      <c r="J182" s="91" t="s">
        <v>538</v>
      </c>
      <c r="K182" s="34"/>
      <c r="L182" s="1" t="s">
        <v>456</v>
      </c>
    </row>
    <row r="183" spans="1:12" ht="36" x14ac:dyDescent="0.2">
      <c r="A183" s="16" t="s">
        <v>724</v>
      </c>
      <c r="B183" s="92" t="s">
        <v>457</v>
      </c>
      <c r="C183" s="586"/>
      <c r="D183" s="173" t="s">
        <v>460</v>
      </c>
      <c r="E183" s="116" t="s">
        <v>466</v>
      </c>
      <c r="F183" s="19" t="s">
        <v>295</v>
      </c>
      <c r="G183" s="24" t="s">
        <v>48</v>
      </c>
      <c r="H183" s="21">
        <f>(2633979.11)/1000*$H$5</f>
        <v>2633.9791099999998</v>
      </c>
      <c r="I183" s="21">
        <f t="shared" si="6"/>
        <v>2633.9791099999998</v>
      </c>
      <c r="J183" s="91" t="s">
        <v>466</v>
      </c>
      <c r="K183" s="34"/>
      <c r="L183" s="1" t="s">
        <v>460</v>
      </c>
    </row>
    <row r="184" spans="1:12" ht="36" x14ac:dyDescent="0.2">
      <c r="A184" s="16" t="s">
        <v>725</v>
      </c>
      <c r="B184" s="92" t="s">
        <v>458</v>
      </c>
      <c r="C184" s="586"/>
      <c r="D184" s="173" t="s">
        <v>459</v>
      </c>
      <c r="E184" s="116" t="s">
        <v>539</v>
      </c>
      <c r="F184" s="19" t="s">
        <v>410</v>
      </c>
      <c r="G184" s="24" t="s">
        <v>13</v>
      </c>
      <c r="H184" s="21">
        <f>(2058211.12)/1000*$H$5</f>
        <v>2058.2111199999999</v>
      </c>
      <c r="I184" s="21">
        <f t="shared" si="6"/>
        <v>2058.2111199999999</v>
      </c>
      <c r="J184" s="91" t="s">
        <v>539</v>
      </c>
      <c r="K184" s="34"/>
      <c r="L184" s="1" t="s">
        <v>459</v>
      </c>
    </row>
    <row r="185" spans="1:12" ht="48" x14ac:dyDescent="0.2">
      <c r="A185" s="16" t="s">
        <v>726</v>
      </c>
      <c r="B185" s="92" t="s">
        <v>461</v>
      </c>
      <c r="C185" s="586"/>
      <c r="D185" s="173" t="s">
        <v>465</v>
      </c>
      <c r="E185" s="116" t="s">
        <v>462</v>
      </c>
      <c r="F185" s="19" t="s">
        <v>126</v>
      </c>
      <c r="G185" s="24" t="s">
        <v>410</v>
      </c>
      <c r="H185" s="21">
        <f>(2038983)/1000*$H$5</f>
        <v>2038.9829999999999</v>
      </c>
      <c r="I185" s="21">
        <f t="shared" si="6"/>
        <v>2038.9829999999999</v>
      </c>
      <c r="J185" s="91" t="s">
        <v>462</v>
      </c>
      <c r="K185" s="34"/>
      <c r="L185" s="1" t="s">
        <v>465</v>
      </c>
    </row>
    <row r="186" spans="1:12" ht="36" x14ac:dyDescent="0.2">
      <c r="A186" s="16" t="s">
        <v>727</v>
      </c>
      <c r="B186" s="92" t="s">
        <v>464</v>
      </c>
      <c r="C186" s="586"/>
      <c r="D186" s="173" t="s">
        <v>468</v>
      </c>
      <c r="E186" s="116" t="s">
        <v>467</v>
      </c>
      <c r="F186" s="19" t="s">
        <v>8</v>
      </c>
      <c r="G186" s="24" t="s">
        <v>14</v>
      </c>
      <c r="H186" s="21">
        <f>(130768063)/1000*$H$5</f>
        <v>130768.06299999999</v>
      </c>
      <c r="I186" s="21">
        <f>H186-(25018370+1469829+12347573)/1000*$H$5</f>
        <v>91932.290999999997</v>
      </c>
      <c r="J186" s="91" t="s">
        <v>467</v>
      </c>
      <c r="K186" s="34"/>
      <c r="L186" s="1" t="s">
        <v>468</v>
      </c>
    </row>
    <row r="187" spans="1:12" ht="84" x14ac:dyDescent="0.2">
      <c r="A187" s="16" t="s">
        <v>728</v>
      </c>
      <c r="B187" s="92" t="s">
        <v>469</v>
      </c>
      <c r="C187" s="586"/>
      <c r="D187" s="173" t="s">
        <v>471</v>
      </c>
      <c r="E187" s="116" t="s">
        <v>1032</v>
      </c>
      <c r="F187" s="19" t="s">
        <v>179</v>
      </c>
      <c r="G187" s="19" t="s">
        <v>7</v>
      </c>
      <c r="H187" s="21">
        <f>(5544496)/1000*$H$5</f>
        <v>5544.4960000000001</v>
      </c>
      <c r="I187" s="21">
        <f t="shared" si="6"/>
        <v>5544.4960000000001</v>
      </c>
      <c r="J187" s="91" t="s">
        <v>470</v>
      </c>
      <c r="K187" s="34"/>
      <c r="L187" s="1" t="s">
        <v>471</v>
      </c>
    </row>
    <row r="188" spans="1:12" ht="48" x14ac:dyDescent="0.2">
      <c r="A188" s="16" t="s">
        <v>729</v>
      </c>
      <c r="B188" s="92" t="s">
        <v>472</v>
      </c>
      <c r="C188" s="586"/>
      <c r="D188" s="173" t="s">
        <v>473</v>
      </c>
      <c r="E188" s="116" t="s">
        <v>475</v>
      </c>
      <c r="F188" s="19" t="s">
        <v>78</v>
      </c>
      <c r="G188" s="19" t="s">
        <v>78</v>
      </c>
      <c r="H188" s="21">
        <f>(829818)/1000*$H$5</f>
        <v>829.81799999999998</v>
      </c>
      <c r="I188" s="21">
        <f t="shared" si="6"/>
        <v>829.81799999999998</v>
      </c>
      <c r="J188" s="91" t="s">
        <v>475</v>
      </c>
      <c r="K188" s="34"/>
      <c r="L188" s="1" t="s">
        <v>473</v>
      </c>
    </row>
    <row r="189" spans="1:12" ht="48.75" customHeight="1" x14ac:dyDescent="0.2">
      <c r="A189" s="16" t="s">
        <v>730</v>
      </c>
      <c r="B189" s="92" t="s">
        <v>474</v>
      </c>
      <c r="C189" s="586"/>
      <c r="D189" s="173" t="s">
        <v>477</v>
      </c>
      <c r="E189" s="116" t="s">
        <v>467</v>
      </c>
      <c r="F189" s="19" t="s">
        <v>124</v>
      </c>
      <c r="G189" s="19" t="s">
        <v>14</v>
      </c>
      <c r="H189" s="21">
        <f>(100377169)/1000*$H$5</f>
        <v>100377.16899999999</v>
      </c>
      <c r="I189" s="21">
        <f>H189-(25100604.84)/1000*$H$5</f>
        <v>75276.564159999994</v>
      </c>
      <c r="J189" s="91" t="s">
        <v>476</v>
      </c>
      <c r="K189" s="34"/>
      <c r="L189" s="1" t="s">
        <v>477</v>
      </c>
    </row>
    <row r="190" spans="1:12" ht="60" x14ac:dyDescent="0.2">
      <c r="A190" s="16" t="s">
        <v>731</v>
      </c>
      <c r="B190" s="92" t="s">
        <v>478</v>
      </c>
      <c r="C190" s="586"/>
      <c r="D190" s="173" t="s">
        <v>480</v>
      </c>
      <c r="E190" s="116" t="s">
        <v>479</v>
      </c>
      <c r="F190" s="19" t="s">
        <v>4</v>
      </c>
      <c r="G190" s="19" t="s">
        <v>24</v>
      </c>
      <c r="H190" s="21">
        <f>(22587631)/1000*$H$5</f>
        <v>22587.631000000001</v>
      </c>
      <c r="I190" s="21">
        <f t="shared" si="6"/>
        <v>22587.631000000001</v>
      </c>
      <c r="J190" s="58" t="s">
        <v>479</v>
      </c>
      <c r="K190" s="59"/>
      <c r="L190" s="1" t="s">
        <v>480</v>
      </c>
    </row>
    <row r="191" spans="1:12" ht="23.25" customHeight="1" x14ac:dyDescent="0.2">
      <c r="A191" s="16" t="s">
        <v>732</v>
      </c>
      <c r="B191" s="48" t="s">
        <v>481</v>
      </c>
      <c r="C191" s="586"/>
      <c r="D191" s="173" t="s">
        <v>483</v>
      </c>
      <c r="E191" s="116" t="s">
        <v>482</v>
      </c>
      <c r="F191" s="19" t="s">
        <v>427</v>
      </c>
      <c r="G191" s="19" t="s">
        <v>84</v>
      </c>
      <c r="H191" s="21">
        <f>(24378308.18)/1000*$H$5</f>
        <v>24378.30818</v>
      </c>
      <c r="I191" s="21">
        <f>H191-(3669923.61)/1000*$H$5</f>
        <v>20708.384570000002</v>
      </c>
      <c r="J191" s="91" t="s">
        <v>482</v>
      </c>
      <c r="K191" s="34"/>
      <c r="L191" s="1" t="s">
        <v>483</v>
      </c>
    </row>
    <row r="192" spans="1:12" ht="48" x14ac:dyDescent="0.2">
      <c r="A192" s="16" t="s">
        <v>733</v>
      </c>
      <c r="B192" s="92" t="s">
        <v>485</v>
      </c>
      <c r="C192" s="586"/>
      <c r="D192" s="173" t="s">
        <v>486</v>
      </c>
      <c r="E192" s="116" t="s">
        <v>487</v>
      </c>
      <c r="F192" s="19" t="s">
        <v>427</v>
      </c>
      <c r="G192" s="24" t="s">
        <v>230</v>
      </c>
      <c r="H192" s="21">
        <f>(18119912)/1000*$H$5</f>
        <v>18119.912</v>
      </c>
      <c r="I192" s="21">
        <f t="shared" si="6"/>
        <v>18119.912</v>
      </c>
      <c r="J192" s="91" t="s">
        <v>487</v>
      </c>
      <c r="K192" s="34"/>
      <c r="L192" s="1" t="s">
        <v>486</v>
      </c>
    </row>
    <row r="193" spans="1:12" ht="60" x14ac:dyDescent="0.2">
      <c r="A193" s="16" t="s">
        <v>734</v>
      </c>
      <c r="B193" s="92" t="s">
        <v>484</v>
      </c>
      <c r="C193" s="586"/>
      <c r="D193" s="173" t="s">
        <v>490</v>
      </c>
      <c r="E193" s="116" t="s">
        <v>489</v>
      </c>
      <c r="F193" s="19" t="s">
        <v>427</v>
      </c>
      <c r="G193" s="19" t="s">
        <v>488</v>
      </c>
      <c r="H193" s="21">
        <f>(50693441.39)/1000*$H$5</f>
        <v>50693.44139</v>
      </c>
      <c r="I193" s="21">
        <f>H193-(7118161)/1000*$H$5</f>
        <v>43575.28039</v>
      </c>
      <c r="J193" s="91" t="s">
        <v>489</v>
      </c>
      <c r="K193" s="34"/>
      <c r="L193" s="1" t="s">
        <v>490</v>
      </c>
    </row>
    <row r="194" spans="1:12" ht="48" x14ac:dyDescent="0.2">
      <c r="A194" s="16" t="s">
        <v>735</v>
      </c>
      <c r="B194" s="92" t="s">
        <v>491</v>
      </c>
      <c r="C194" s="586"/>
      <c r="D194" s="173" t="s">
        <v>493</v>
      </c>
      <c r="E194" s="116" t="s">
        <v>492</v>
      </c>
      <c r="F194" s="19" t="s">
        <v>230</v>
      </c>
      <c r="G194" s="24" t="s">
        <v>7</v>
      </c>
      <c r="H194" s="21">
        <f>(1289255)/1000*$H$5</f>
        <v>1289.2550000000001</v>
      </c>
      <c r="I194" s="21">
        <f t="shared" si="6"/>
        <v>1289.2550000000001</v>
      </c>
      <c r="J194" s="91" t="s">
        <v>492</v>
      </c>
      <c r="K194" s="34"/>
      <c r="L194" s="1" t="s">
        <v>493</v>
      </c>
    </row>
    <row r="195" spans="1:12" ht="24" x14ac:dyDescent="0.2">
      <c r="A195" s="16" t="s">
        <v>736</v>
      </c>
      <c r="B195" s="92" t="s">
        <v>495</v>
      </c>
      <c r="C195" s="586"/>
      <c r="D195" s="173" t="s">
        <v>494</v>
      </c>
      <c r="E195" s="116" t="s">
        <v>540</v>
      </c>
      <c r="F195" s="19" t="s">
        <v>230</v>
      </c>
      <c r="G195" s="24" t="s">
        <v>7</v>
      </c>
      <c r="H195" s="21">
        <f>(998697)/1000*$H$5</f>
        <v>998.697</v>
      </c>
      <c r="I195" s="21">
        <f t="shared" si="6"/>
        <v>998.697</v>
      </c>
      <c r="J195" s="91" t="s">
        <v>540</v>
      </c>
      <c r="K195" s="34"/>
      <c r="L195" s="1" t="s">
        <v>494</v>
      </c>
    </row>
    <row r="196" spans="1:12" ht="72" x14ac:dyDescent="0.2">
      <c r="A196" s="16" t="s">
        <v>737</v>
      </c>
      <c r="B196" s="92" t="s">
        <v>497</v>
      </c>
      <c r="C196" s="586"/>
      <c r="D196" s="173" t="s">
        <v>496</v>
      </c>
      <c r="E196" s="116" t="s">
        <v>498</v>
      </c>
      <c r="F196" s="19" t="s">
        <v>499</v>
      </c>
      <c r="G196" s="24" t="s">
        <v>500</v>
      </c>
      <c r="H196" s="21">
        <f>(4308132)/1000*$H$5</f>
        <v>4308.1319999999996</v>
      </c>
      <c r="I196" s="21">
        <f>H196-(1306408)/1000*$H$5</f>
        <v>3001.7239999999997</v>
      </c>
      <c r="J196" s="91" t="s">
        <v>498</v>
      </c>
      <c r="K196" s="34"/>
      <c r="L196" s="1" t="s">
        <v>496</v>
      </c>
    </row>
    <row r="197" spans="1:12" ht="36" x14ac:dyDescent="0.2">
      <c r="A197" s="16" t="s">
        <v>738</v>
      </c>
      <c r="B197" s="92" t="s">
        <v>501</v>
      </c>
      <c r="C197" s="586"/>
      <c r="D197" s="173" t="s">
        <v>503</v>
      </c>
      <c r="E197" s="116" t="s">
        <v>502</v>
      </c>
      <c r="F197" s="19" t="s">
        <v>132</v>
      </c>
      <c r="G197" s="24" t="s">
        <v>9</v>
      </c>
      <c r="H197" s="21">
        <f>(12401096)/1000*$H$5</f>
        <v>12401.096</v>
      </c>
      <c r="I197" s="21">
        <f>H197-(0)/1000*$H$5</f>
        <v>12401.096</v>
      </c>
      <c r="J197" s="91" t="s">
        <v>502</v>
      </c>
      <c r="K197" s="34"/>
      <c r="L197" s="1" t="s">
        <v>503</v>
      </c>
    </row>
    <row r="198" spans="1:12" ht="48" x14ac:dyDescent="0.2">
      <c r="A198" s="16" t="s">
        <v>739</v>
      </c>
      <c r="B198" s="92" t="s">
        <v>509</v>
      </c>
      <c r="C198" s="586"/>
      <c r="D198" s="173" t="s">
        <v>504</v>
      </c>
      <c r="E198" s="116" t="s">
        <v>505</v>
      </c>
      <c r="F198" s="19" t="s">
        <v>7</v>
      </c>
      <c r="G198" s="19" t="s">
        <v>93</v>
      </c>
      <c r="H198" s="21">
        <f>(1022700)/1000*$H$5</f>
        <v>1022.7</v>
      </c>
      <c r="I198" s="21">
        <f t="shared" ref="I198:I213" si="7">H198-(0)/1000*$H$5</f>
        <v>1022.7</v>
      </c>
      <c r="J198" s="91" t="s">
        <v>505</v>
      </c>
      <c r="K198" s="34"/>
      <c r="L198" s="1" t="s">
        <v>504</v>
      </c>
    </row>
    <row r="199" spans="1:12" ht="48" x14ac:dyDescent="0.2">
      <c r="A199" s="16" t="s">
        <v>740</v>
      </c>
      <c r="B199" s="92" t="s">
        <v>509</v>
      </c>
      <c r="C199" s="586"/>
      <c r="D199" s="173" t="s">
        <v>506</v>
      </c>
      <c r="E199" s="116" t="s">
        <v>507</v>
      </c>
      <c r="F199" s="19" t="s">
        <v>508</v>
      </c>
      <c r="G199" s="19" t="s">
        <v>86</v>
      </c>
      <c r="H199" s="21">
        <f>(8552344)/1000*$H$5</f>
        <v>8552.3439999999991</v>
      </c>
      <c r="I199" s="21">
        <f t="shared" si="7"/>
        <v>8552.3439999999991</v>
      </c>
      <c r="J199" s="91" t="s">
        <v>507</v>
      </c>
      <c r="K199" s="34"/>
      <c r="L199" s="1" t="s">
        <v>506</v>
      </c>
    </row>
    <row r="200" spans="1:12" ht="48" x14ac:dyDescent="0.2">
      <c r="A200" s="16" t="s">
        <v>741</v>
      </c>
      <c r="B200" s="92" t="s">
        <v>541</v>
      </c>
      <c r="C200" s="586"/>
      <c r="D200" s="173" t="s">
        <v>510</v>
      </c>
      <c r="E200" s="116" t="s">
        <v>512</v>
      </c>
      <c r="F200" s="19" t="s">
        <v>86</v>
      </c>
      <c r="G200" s="19" t="s">
        <v>511</v>
      </c>
      <c r="H200" s="21">
        <f>(1554362)/1000*$H$5</f>
        <v>1554.3620000000001</v>
      </c>
      <c r="I200" s="21">
        <f t="shared" si="7"/>
        <v>1554.3620000000001</v>
      </c>
      <c r="J200" s="91" t="s">
        <v>512</v>
      </c>
      <c r="K200" s="34"/>
      <c r="L200" s="1" t="s">
        <v>510</v>
      </c>
    </row>
    <row r="201" spans="1:12" ht="48" x14ac:dyDescent="0.2">
      <c r="A201" s="16" t="s">
        <v>742</v>
      </c>
      <c r="B201" s="92" t="s">
        <v>514</v>
      </c>
      <c r="C201" s="586"/>
      <c r="D201" s="173" t="s">
        <v>513</v>
      </c>
      <c r="E201" s="116" t="s">
        <v>515</v>
      </c>
      <c r="F201" s="19" t="s">
        <v>511</v>
      </c>
      <c r="G201" s="19" t="s">
        <v>95</v>
      </c>
      <c r="H201" s="21">
        <f>(5110000)/1000*$H$5</f>
        <v>5110</v>
      </c>
      <c r="I201" s="21">
        <f t="shared" si="7"/>
        <v>5110</v>
      </c>
      <c r="J201" s="58" t="s">
        <v>515</v>
      </c>
      <c r="K201" s="59"/>
      <c r="L201" s="1" t="s">
        <v>513</v>
      </c>
    </row>
    <row r="202" spans="1:12" ht="36" x14ac:dyDescent="0.2">
      <c r="A202" s="16" t="s">
        <v>743</v>
      </c>
      <c r="B202" s="92" t="s">
        <v>517</v>
      </c>
      <c r="C202" s="586"/>
      <c r="D202" s="173" t="s">
        <v>516</v>
      </c>
      <c r="E202" s="116" t="s">
        <v>482</v>
      </c>
      <c r="F202" s="19" t="s">
        <v>58</v>
      </c>
      <c r="G202" s="19" t="s">
        <v>58</v>
      </c>
      <c r="H202" s="21">
        <f>(3205702)/1000*$H$5</f>
        <v>3205.7020000000002</v>
      </c>
      <c r="I202" s="21">
        <f t="shared" si="7"/>
        <v>3205.7020000000002</v>
      </c>
      <c r="J202" s="91" t="s">
        <v>482</v>
      </c>
      <c r="K202" s="34"/>
      <c r="L202" s="1" t="s">
        <v>516</v>
      </c>
    </row>
    <row r="203" spans="1:12" ht="48" x14ac:dyDescent="0.2">
      <c r="A203" s="16" t="s">
        <v>744</v>
      </c>
      <c r="B203" s="92" t="s">
        <v>542</v>
      </c>
      <c r="C203" s="586"/>
      <c r="D203" s="173" t="s">
        <v>522</v>
      </c>
      <c r="E203" s="116" t="s">
        <v>521</v>
      </c>
      <c r="F203" s="19" t="s">
        <v>91</v>
      </c>
      <c r="G203" s="24" t="s">
        <v>139</v>
      </c>
      <c r="H203" s="21">
        <f>(9056742)/1000*$H$5</f>
        <v>9056.7420000000002</v>
      </c>
      <c r="I203" s="21">
        <f>H203-(0)/1000*$H$5</f>
        <v>9056.7420000000002</v>
      </c>
      <c r="J203" s="91" t="s">
        <v>521</v>
      </c>
      <c r="K203" s="34"/>
      <c r="L203" s="1" t="s">
        <v>518</v>
      </c>
    </row>
    <row r="204" spans="1:12" ht="48" x14ac:dyDescent="0.2">
      <c r="A204" s="16" t="s">
        <v>745</v>
      </c>
      <c r="B204" s="92" t="s">
        <v>542</v>
      </c>
      <c r="C204" s="586"/>
      <c r="D204" s="173" t="s">
        <v>520</v>
      </c>
      <c r="E204" s="116" t="s">
        <v>523</v>
      </c>
      <c r="F204" s="19" t="s">
        <v>139</v>
      </c>
      <c r="G204" s="19" t="s">
        <v>211</v>
      </c>
      <c r="H204" s="21">
        <f>(3645714)/1000*$H$5</f>
        <v>3645.7139999999999</v>
      </c>
      <c r="I204" s="21">
        <f>H204-(0)/1000*$H$5</f>
        <v>3645.7139999999999</v>
      </c>
      <c r="J204" s="91" t="s">
        <v>523</v>
      </c>
      <c r="K204" s="34"/>
      <c r="L204" s="1" t="s">
        <v>522</v>
      </c>
    </row>
    <row r="205" spans="1:12" ht="84" x14ac:dyDescent="0.2">
      <c r="A205" s="16" t="s">
        <v>746</v>
      </c>
      <c r="B205" s="92" t="s">
        <v>542</v>
      </c>
      <c r="C205" s="586"/>
      <c r="D205" s="173" t="s">
        <v>524</v>
      </c>
      <c r="E205" s="116" t="s">
        <v>790</v>
      </c>
      <c r="F205" s="19" t="s">
        <v>211</v>
      </c>
      <c r="G205" s="24" t="s">
        <v>519</v>
      </c>
      <c r="H205" s="21">
        <f>(5120965)/1000*$H$5</f>
        <v>5120.9650000000001</v>
      </c>
      <c r="I205" s="21">
        <f t="shared" si="7"/>
        <v>5120.9650000000001</v>
      </c>
      <c r="J205" s="91" t="s">
        <v>790</v>
      </c>
      <c r="K205" s="34"/>
      <c r="L205" s="1" t="s">
        <v>520</v>
      </c>
    </row>
    <row r="206" spans="1:12" ht="48" x14ac:dyDescent="0.2">
      <c r="A206" s="16" t="s">
        <v>747</v>
      </c>
      <c r="B206" s="92" t="s">
        <v>525</v>
      </c>
      <c r="C206" s="586"/>
      <c r="D206" s="173" t="s">
        <v>527</v>
      </c>
      <c r="E206" s="116" t="s">
        <v>528</v>
      </c>
      <c r="F206" s="19" t="s">
        <v>101</v>
      </c>
      <c r="G206" s="24" t="s">
        <v>141</v>
      </c>
      <c r="H206" s="21">
        <f>(3928184)/1000*$H$5</f>
        <v>3928.1840000000002</v>
      </c>
      <c r="I206" s="21">
        <f t="shared" si="7"/>
        <v>3928.1840000000002</v>
      </c>
      <c r="J206" s="91" t="s">
        <v>528</v>
      </c>
      <c r="K206" s="34"/>
      <c r="L206" s="1" t="s">
        <v>524</v>
      </c>
    </row>
    <row r="207" spans="1:12" ht="36" x14ac:dyDescent="0.2">
      <c r="A207" s="16" t="s">
        <v>748</v>
      </c>
      <c r="B207" s="92" t="s">
        <v>526</v>
      </c>
      <c r="C207" s="586"/>
      <c r="D207" s="173" t="s">
        <v>527</v>
      </c>
      <c r="E207" s="116" t="s">
        <v>422</v>
      </c>
      <c r="F207" s="19" t="s">
        <v>104</v>
      </c>
      <c r="G207" s="24" t="s">
        <v>20</v>
      </c>
      <c r="H207" s="21">
        <f>(1807561)/1000*$H$5</f>
        <v>1807.5609999999999</v>
      </c>
      <c r="I207" s="21">
        <f t="shared" si="7"/>
        <v>1807.5609999999999</v>
      </c>
      <c r="J207" s="91" t="s">
        <v>422</v>
      </c>
      <c r="K207" s="34"/>
      <c r="L207" s="1" t="s">
        <v>527</v>
      </c>
    </row>
    <row r="208" spans="1:12" ht="63.75" customHeight="1" x14ac:dyDescent="0.2">
      <c r="A208" s="16" t="s">
        <v>749</v>
      </c>
      <c r="B208" s="92" t="s">
        <v>529</v>
      </c>
      <c r="C208" s="586"/>
      <c r="D208" s="173" t="s">
        <v>532</v>
      </c>
      <c r="E208" s="116" t="s">
        <v>1033</v>
      </c>
      <c r="F208" s="19" t="s">
        <v>107</v>
      </c>
      <c r="G208" s="24" t="s">
        <v>531</v>
      </c>
      <c r="H208" s="21">
        <f>(3056511)/1000*$H$5</f>
        <v>3056.511</v>
      </c>
      <c r="I208" s="21">
        <f t="shared" si="7"/>
        <v>3056.511</v>
      </c>
      <c r="J208" s="91" t="s">
        <v>530</v>
      </c>
      <c r="K208" s="34"/>
      <c r="L208" s="1" t="s">
        <v>532</v>
      </c>
    </row>
    <row r="209" spans="1:12" ht="36" x14ac:dyDescent="0.2">
      <c r="A209" s="17" t="s">
        <v>750</v>
      </c>
      <c r="B209" s="92" t="s">
        <v>534</v>
      </c>
      <c r="C209" s="587"/>
      <c r="D209" s="173" t="s">
        <v>533</v>
      </c>
      <c r="E209" s="116" t="s">
        <v>535</v>
      </c>
      <c r="F209" s="19" t="s">
        <v>107</v>
      </c>
      <c r="G209" s="24" t="s">
        <v>17</v>
      </c>
      <c r="H209" s="13">
        <f>(6230000)/1000*$H$5</f>
        <v>6230</v>
      </c>
      <c r="I209" s="13">
        <f t="shared" si="7"/>
        <v>6230</v>
      </c>
      <c r="J209" s="91" t="s">
        <v>535</v>
      </c>
      <c r="K209" s="34"/>
      <c r="L209" s="1" t="s">
        <v>533</v>
      </c>
    </row>
    <row r="210" spans="1:12" ht="96" x14ac:dyDescent="0.2">
      <c r="A210" s="17" t="s">
        <v>751</v>
      </c>
      <c r="B210" s="129" t="s">
        <v>791</v>
      </c>
      <c r="C210" s="71" t="s">
        <v>792</v>
      </c>
      <c r="D210" s="180" t="s">
        <v>628</v>
      </c>
      <c r="E210" s="71" t="s">
        <v>1034</v>
      </c>
      <c r="F210" s="11" t="s">
        <v>86</v>
      </c>
      <c r="G210" s="11" t="s">
        <v>91</v>
      </c>
      <c r="H210" s="88">
        <f>(2720619)/1000*$H$5</f>
        <v>2720.6190000000001</v>
      </c>
      <c r="I210" s="88">
        <f>H210-(0)/1000*$H$5</f>
        <v>2720.6190000000001</v>
      </c>
      <c r="J210" s="2" t="s">
        <v>793</v>
      </c>
      <c r="K210" s="3"/>
      <c r="L210" s="1" t="s">
        <v>628</v>
      </c>
    </row>
    <row r="211" spans="1:12" ht="48" x14ac:dyDescent="0.2">
      <c r="A211" s="17" t="s">
        <v>752</v>
      </c>
      <c r="B211" s="94" t="s">
        <v>635</v>
      </c>
      <c r="C211" s="71" t="s">
        <v>636</v>
      </c>
      <c r="D211" s="180"/>
      <c r="E211" s="71" t="s">
        <v>1035</v>
      </c>
      <c r="F211" s="11" t="s">
        <v>22</v>
      </c>
      <c r="G211" s="11" t="s">
        <v>18</v>
      </c>
      <c r="H211" s="97">
        <f>(6361573.23)/1000*$H$5</f>
        <v>6361.5732300000009</v>
      </c>
      <c r="I211" s="97">
        <f>H211-(0)/1000*$H$5</f>
        <v>6361.5732300000009</v>
      </c>
      <c r="J211" s="2" t="s">
        <v>639</v>
      </c>
      <c r="K211" s="3"/>
    </row>
    <row r="212" spans="1:12" ht="72" x14ac:dyDescent="0.2">
      <c r="A212" s="75" t="s">
        <v>753</v>
      </c>
      <c r="B212" s="89" t="s">
        <v>616</v>
      </c>
      <c r="C212" s="71" t="s">
        <v>619</v>
      </c>
      <c r="D212" s="180" t="s">
        <v>618</v>
      </c>
      <c r="E212" s="71" t="s">
        <v>1036</v>
      </c>
      <c r="F212" s="11" t="s">
        <v>93</v>
      </c>
      <c r="G212" s="11" t="s">
        <v>9</v>
      </c>
      <c r="H212" s="88">
        <f>(5002224)/1000*$H$5</f>
        <v>5002.2240000000002</v>
      </c>
      <c r="I212" s="88">
        <f>H212-(0)/1000*$H$5</f>
        <v>5002.2240000000002</v>
      </c>
      <c r="J212" s="2" t="s">
        <v>617</v>
      </c>
      <c r="K212" s="3"/>
      <c r="L212" s="1" t="s">
        <v>618</v>
      </c>
    </row>
    <row r="213" spans="1:12" ht="67.5" x14ac:dyDescent="0.2">
      <c r="A213" s="17" t="s">
        <v>754</v>
      </c>
      <c r="B213" s="72" t="s">
        <v>794</v>
      </c>
      <c r="C213" s="71" t="s">
        <v>795</v>
      </c>
      <c r="D213" s="180" t="s">
        <v>550</v>
      </c>
      <c r="E213" s="71" t="s">
        <v>1037</v>
      </c>
      <c r="F213" s="11" t="s">
        <v>177</v>
      </c>
      <c r="G213" s="11" t="s">
        <v>8</v>
      </c>
      <c r="H213" s="13">
        <f>(6175000+2850000)/1000*$H$5</f>
        <v>9025</v>
      </c>
      <c r="I213" s="13">
        <f t="shared" si="7"/>
        <v>9025</v>
      </c>
      <c r="J213" s="2" t="s">
        <v>549</v>
      </c>
      <c r="K213" s="3"/>
      <c r="L213" s="62" t="s">
        <v>550</v>
      </c>
    </row>
    <row r="214" spans="1:12" ht="84" x14ac:dyDescent="0.2">
      <c r="A214" s="16" t="s">
        <v>755</v>
      </c>
      <c r="B214" s="125" t="s">
        <v>798</v>
      </c>
      <c r="C214" s="71" t="s">
        <v>555</v>
      </c>
      <c r="D214" s="180" t="s">
        <v>1038</v>
      </c>
      <c r="E214" s="71" t="s">
        <v>553</v>
      </c>
      <c r="F214" s="11" t="s">
        <v>410</v>
      </c>
      <c r="G214" s="11" t="s">
        <v>127</v>
      </c>
      <c r="H214" s="13">
        <f>(2130356+1597705)/1000*$H$5</f>
        <v>3728.0610000000001</v>
      </c>
      <c r="I214" s="13">
        <f t="shared" ref="I214:I220" si="8">H214-(0)/1000*$H$5</f>
        <v>3728.0610000000001</v>
      </c>
      <c r="J214" s="2" t="s">
        <v>553</v>
      </c>
      <c r="K214" s="3"/>
    </row>
    <row r="215" spans="1:12" ht="72" x14ac:dyDescent="0.2">
      <c r="A215" s="16" t="s">
        <v>757</v>
      </c>
      <c r="B215" s="126"/>
      <c r="C215" s="588" t="s">
        <v>554</v>
      </c>
      <c r="D215" s="184" t="s">
        <v>563</v>
      </c>
      <c r="E215" s="166" t="s">
        <v>564</v>
      </c>
      <c r="F215" s="19" t="s">
        <v>49</v>
      </c>
      <c r="G215" s="19" t="s">
        <v>54</v>
      </c>
      <c r="H215" s="21">
        <f>(946726+686086)/1000*$H$5</f>
        <v>1632.8119999999999</v>
      </c>
      <c r="I215" s="21">
        <f t="shared" si="8"/>
        <v>1632.8119999999999</v>
      </c>
      <c r="J215" s="58" t="s">
        <v>564</v>
      </c>
      <c r="K215" s="59"/>
      <c r="L215" s="62" t="s">
        <v>563</v>
      </c>
    </row>
    <row r="216" spans="1:12" ht="45" x14ac:dyDescent="0.2">
      <c r="A216" s="16" t="s">
        <v>758</v>
      </c>
      <c r="B216" s="126"/>
      <c r="C216" s="589"/>
      <c r="D216" s="184" t="s">
        <v>620</v>
      </c>
      <c r="E216" s="124" t="s">
        <v>565</v>
      </c>
      <c r="F216" s="19" t="s">
        <v>4</v>
      </c>
      <c r="G216" s="19" t="s">
        <v>5</v>
      </c>
      <c r="H216" s="21">
        <f>(740000+867118)/1000*$H$5</f>
        <v>1607.1179999999999</v>
      </c>
      <c r="I216" s="21">
        <f t="shared" si="8"/>
        <v>1607.1179999999999</v>
      </c>
      <c r="J216" s="58" t="s">
        <v>565</v>
      </c>
      <c r="K216" s="59"/>
      <c r="L216" s="62" t="s">
        <v>620</v>
      </c>
    </row>
    <row r="217" spans="1:12" ht="45" x14ac:dyDescent="0.2">
      <c r="A217" s="16" t="s">
        <v>759</v>
      </c>
      <c r="B217" s="126"/>
      <c r="C217" s="589"/>
      <c r="D217" s="184" t="s">
        <v>621</v>
      </c>
      <c r="E217" s="124" t="s">
        <v>565</v>
      </c>
      <c r="F217" s="19" t="s">
        <v>137</v>
      </c>
      <c r="G217" s="19" t="s">
        <v>9</v>
      </c>
      <c r="H217" s="21">
        <f>(1509648+1083366)/1000*$H$5</f>
        <v>2593.0140000000001</v>
      </c>
      <c r="I217" s="21">
        <f t="shared" si="8"/>
        <v>2593.0140000000001</v>
      </c>
      <c r="J217" s="58" t="s">
        <v>565</v>
      </c>
      <c r="K217" s="59"/>
      <c r="L217" s="62" t="s">
        <v>621</v>
      </c>
    </row>
    <row r="218" spans="1:12" ht="45" x14ac:dyDescent="0.2">
      <c r="A218" s="16" t="s">
        <v>760</v>
      </c>
      <c r="B218" s="126"/>
      <c r="C218" s="589"/>
      <c r="D218" s="184" t="s">
        <v>623</v>
      </c>
      <c r="E218" s="124" t="s">
        <v>565</v>
      </c>
      <c r="F218" s="19" t="s">
        <v>508</v>
      </c>
      <c r="G218" s="19" t="s">
        <v>16</v>
      </c>
      <c r="H218" s="21">
        <f>(4608712+1700000)/1000*$H$5</f>
        <v>6308.7120000000004</v>
      </c>
      <c r="I218" s="21">
        <f t="shared" si="8"/>
        <v>6308.7120000000004</v>
      </c>
      <c r="J218" s="58" t="s">
        <v>565</v>
      </c>
      <c r="K218" s="59"/>
      <c r="L218" s="62" t="s">
        <v>623</v>
      </c>
    </row>
    <row r="219" spans="1:12" ht="48" customHeight="1" x14ac:dyDescent="0.2">
      <c r="A219" s="16" t="s">
        <v>761</v>
      </c>
      <c r="B219" s="127"/>
      <c r="C219" s="590"/>
      <c r="D219" s="184" t="s">
        <v>624</v>
      </c>
      <c r="E219" s="58" t="s">
        <v>756</v>
      </c>
      <c r="F219" s="19" t="s">
        <v>61</v>
      </c>
      <c r="G219" s="19" t="s">
        <v>103</v>
      </c>
      <c r="H219" s="21">
        <f>(4390000074)/1000*$H$5</f>
        <v>4390000.074</v>
      </c>
      <c r="I219" s="21">
        <f t="shared" si="8"/>
        <v>4390000.074</v>
      </c>
      <c r="J219" s="58" t="s">
        <v>756</v>
      </c>
      <c r="K219" s="59"/>
      <c r="L219" s="1" t="s">
        <v>624</v>
      </c>
    </row>
    <row r="220" spans="1:12" ht="60" x14ac:dyDescent="0.2">
      <c r="A220" s="128" t="s">
        <v>762</v>
      </c>
      <c r="B220" s="71" t="s">
        <v>797</v>
      </c>
      <c r="C220" s="71" t="s">
        <v>637</v>
      </c>
      <c r="D220" s="180" t="s">
        <v>641</v>
      </c>
      <c r="E220" s="2" t="s">
        <v>1039</v>
      </c>
      <c r="F220" s="11" t="s">
        <v>141</v>
      </c>
      <c r="G220" s="11" t="s">
        <v>638</v>
      </c>
      <c r="H220" s="111">
        <f>(1240980)/1000*$H$5</f>
        <v>1240.98</v>
      </c>
      <c r="I220" s="111">
        <f t="shared" si="8"/>
        <v>1240.98</v>
      </c>
      <c r="J220" s="2" t="s">
        <v>640</v>
      </c>
      <c r="K220" s="3"/>
      <c r="L220" s="1" t="s">
        <v>641</v>
      </c>
    </row>
    <row r="222" spans="1:12" x14ac:dyDescent="0.2">
      <c r="B222" s="591" t="s">
        <v>796</v>
      </c>
      <c r="C222" s="591"/>
      <c r="D222" s="591"/>
      <c r="E222" s="591"/>
      <c r="F222" s="591"/>
      <c r="G222" s="591"/>
      <c r="H222" s="591"/>
      <c r="I222" s="591"/>
      <c r="J222" s="591"/>
      <c r="K222" s="591"/>
    </row>
    <row r="224" spans="1:12" x14ac:dyDescent="0.2">
      <c r="A224" s="1" t="s">
        <v>806</v>
      </c>
    </row>
    <row r="244" spans="10:10" x14ac:dyDescent="0.2">
      <c r="J244" s="1" t="s">
        <v>1016</v>
      </c>
    </row>
    <row r="245" spans="10:10" x14ac:dyDescent="0.2">
      <c r="J245" s="1" t="s">
        <v>1018</v>
      </c>
    </row>
    <row r="246" spans="10:10" x14ac:dyDescent="0.2">
      <c r="J246" s="1" t="s">
        <v>1019</v>
      </c>
    </row>
    <row r="247" spans="10:10" x14ac:dyDescent="0.2">
      <c r="J247" s="1" t="s">
        <v>1020</v>
      </c>
    </row>
    <row r="248" spans="10:10" x14ac:dyDescent="0.2">
      <c r="J248" s="1" t="s">
        <v>1021</v>
      </c>
    </row>
    <row r="249" spans="10:10" x14ac:dyDescent="0.2">
      <c r="J249" s="1" t="s">
        <v>1022</v>
      </c>
    </row>
    <row r="250" spans="10:10" x14ac:dyDescent="0.2">
      <c r="J250" s="1" t="s">
        <v>1023</v>
      </c>
    </row>
    <row r="251" spans="10:10" x14ac:dyDescent="0.2">
      <c r="J251" s="1" t="s">
        <v>1024</v>
      </c>
    </row>
    <row r="252" spans="10:10" x14ac:dyDescent="0.2">
      <c r="J252" s="1" t="s">
        <v>1025</v>
      </c>
    </row>
    <row r="253" spans="10:10" x14ac:dyDescent="0.2">
      <c r="J253" s="1" t="s">
        <v>1026</v>
      </c>
    </row>
    <row r="254" spans="10:10" x14ac:dyDescent="0.2">
      <c r="J254" s="1" t="s">
        <v>1027</v>
      </c>
    </row>
    <row r="257" spans="10:12" x14ac:dyDescent="0.2">
      <c r="J257" s="1" t="s">
        <v>786</v>
      </c>
      <c r="L257" s="1" t="s">
        <v>577</v>
      </c>
    </row>
  </sheetData>
  <mergeCells count="40">
    <mergeCell ref="B222:K222"/>
    <mergeCell ref="C114:C116"/>
    <mergeCell ref="C111:C113"/>
    <mergeCell ref="C144:C148"/>
    <mergeCell ref="C150:C151"/>
    <mergeCell ref="F150:F151"/>
    <mergeCell ref="G150:G151"/>
    <mergeCell ref="H150:H151"/>
    <mergeCell ref="I150:I151"/>
    <mergeCell ref="C162:C163"/>
    <mergeCell ref="C215:C219"/>
    <mergeCell ref="C139:C140"/>
    <mergeCell ref="C118:C128"/>
    <mergeCell ref="C180:C209"/>
    <mergeCell ref="C129:C138"/>
    <mergeCell ref="C153:C154"/>
    <mergeCell ref="B2:K2"/>
    <mergeCell ref="B3:K3"/>
    <mergeCell ref="B4:K4"/>
    <mergeCell ref="B6:B7"/>
    <mergeCell ref="F6:G6"/>
    <mergeCell ref="H6:I6"/>
    <mergeCell ref="J6:J7"/>
    <mergeCell ref="K6:K7"/>
    <mergeCell ref="C6:C7"/>
    <mergeCell ref="A6:A7"/>
    <mergeCell ref="C9:C21"/>
    <mergeCell ref="C23:C32"/>
    <mergeCell ref="C34:C53"/>
    <mergeCell ref="C54:C55"/>
    <mergeCell ref="C164:C166"/>
    <mergeCell ref="C170:C179"/>
    <mergeCell ref="D6:D7"/>
    <mergeCell ref="E6:E7"/>
    <mergeCell ref="C109:C110"/>
    <mergeCell ref="C56:C57"/>
    <mergeCell ref="C62:C68"/>
    <mergeCell ref="C58:C60"/>
    <mergeCell ref="C103:C107"/>
    <mergeCell ref="C83:C93"/>
  </mergeCells>
  <pageMargins left="0.11811023622047245" right="0.11811023622047245" top="0.27559055118110237" bottom="0.27559055118110237" header="0.31496062992125984" footer="0.11811023622047245"/>
  <pageSetup paperSize="9" scale="10" fitToHeight="200" orientation="landscape" r:id="rId1"/>
  <headerFooter>
    <oddFooter>&amp;R&amp;P</oddFooter>
  </headerFooter>
  <rowBreaks count="1" manualBreakCount="1">
    <brk id="13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M280"/>
  <sheetViews>
    <sheetView showZeros="0" view="pageBreakPreview" topLeftCell="A236" zoomScale="120" zoomScaleNormal="120" zoomScaleSheetLayoutView="120" workbookViewId="0">
      <selection activeCell="J255" sqref="J255"/>
    </sheetView>
  </sheetViews>
  <sheetFormatPr defaultColWidth="9.140625" defaultRowHeight="12" x14ac:dyDescent="0.2"/>
  <cols>
    <col min="1" max="1" width="5.140625" style="60" customWidth="1"/>
    <col min="2" max="2" width="29.5703125" style="60" customWidth="1"/>
    <col min="3" max="3" width="35.7109375" style="60" customWidth="1"/>
    <col min="4" max="4" width="9.85546875" style="274" customWidth="1"/>
    <col min="5" max="5" width="33" style="275" customWidth="1"/>
    <col min="6" max="6" width="9.140625" style="60" customWidth="1"/>
    <col min="7" max="7" width="10.42578125" style="60" customWidth="1"/>
    <col min="8" max="8" width="12.42578125" style="60" customWidth="1"/>
    <col min="9" max="9" width="11.42578125" style="60" customWidth="1"/>
    <col min="10" max="10" width="47.7109375" style="60" customWidth="1"/>
    <col min="11" max="11" width="47.7109375" style="60" hidden="1" customWidth="1"/>
    <col min="12" max="12" width="47.7109375" style="60" customWidth="1"/>
    <col min="13" max="13" width="9.5703125" style="60" bestFit="1" customWidth="1"/>
    <col min="14" max="16384" width="9.140625" style="60"/>
  </cols>
  <sheetData>
    <row r="2" spans="1:12" x14ac:dyDescent="0.2">
      <c r="B2" s="276" t="s">
        <v>39</v>
      </c>
      <c r="C2" s="276"/>
      <c r="D2" s="276"/>
      <c r="E2" s="276"/>
      <c r="F2" s="276"/>
      <c r="G2" s="276"/>
      <c r="H2" s="276"/>
      <c r="I2" s="276"/>
      <c r="J2" s="276"/>
      <c r="K2" s="276"/>
    </row>
    <row r="3" spans="1:12" x14ac:dyDescent="0.2">
      <c r="B3" s="276" t="s">
        <v>40</v>
      </c>
      <c r="C3" s="276"/>
      <c r="D3" s="276"/>
      <c r="E3" s="276"/>
      <c r="F3" s="276"/>
      <c r="G3" s="276"/>
      <c r="H3" s="276"/>
      <c r="I3" s="276"/>
      <c r="J3" s="276"/>
      <c r="K3" s="276"/>
    </row>
    <row r="4" spans="1:12" x14ac:dyDescent="0.2">
      <c r="B4" s="276" t="s">
        <v>41</v>
      </c>
      <c r="C4" s="276"/>
      <c r="D4" s="276"/>
      <c r="E4" s="276"/>
      <c r="F4" s="276"/>
      <c r="G4" s="276"/>
      <c r="H4" s="276"/>
      <c r="I4" s="276"/>
      <c r="J4" s="276"/>
      <c r="K4" s="276"/>
    </row>
    <row r="5" spans="1:12" ht="15.6" customHeight="1" x14ac:dyDescent="0.2">
      <c r="B5" s="210"/>
      <c r="C5" s="210"/>
      <c r="D5" s="211"/>
      <c r="E5" s="212"/>
      <c r="F5" s="210"/>
      <c r="G5" s="210"/>
      <c r="H5" s="213">
        <v>1</v>
      </c>
      <c r="I5" s="210"/>
      <c r="J5" s="210"/>
      <c r="K5" s="210"/>
    </row>
    <row r="6" spans="1:12" ht="25.5" customHeight="1" x14ac:dyDescent="0.2">
      <c r="A6" s="619" t="s">
        <v>65</v>
      </c>
      <c r="B6" s="619" t="s">
        <v>0</v>
      </c>
      <c r="C6" s="621" t="s">
        <v>807</v>
      </c>
      <c r="D6" s="623" t="s">
        <v>808</v>
      </c>
      <c r="E6" s="621" t="s">
        <v>809</v>
      </c>
      <c r="F6" s="618" t="s">
        <v>1</v>
      </c>
      <c r="G6" s="618"/>
      <c r="H6" s="618" t="s">
        <v>43</v>
      </c>
      <c r="I6" s="618"/>
      <c r="J6" s="618" t="s">
        <v>44</v>
      </c>
      <c r="K6" s="618" t="s">
        <v>45</v>
      </c>
    </row>
    <row r="7" spans="1:12" ht="56.45" customHeight="1" x14ac:dyDescent="0.2">
      <c r="A7" s="620"/>
      <c r="B7" s="620"/>
      <c r="C7" s="622"/>
      <c r="D7" s="624"/>
      <c r="E7" s="622"/>
      <c r="F7" s="214" t="s">
        <v>2</v>
      </c>
      <c r="G7" s="215" t="s">
        <v>42</v>
      </c>
      <c r="H7" s="214" t="s">
        <v>3</v>
      </c>
      <c r="I7" s="214" t="s">
        <v>33</v>
      </c>
      <c r="J7" s="618"/>
      <c r="K7" s="618"/>
      <c r="L7" s="60" t="s">
        <v>346</v>
      </c>
    </row>
    <row r="8" spans="1:12" ht="11.45" customHeight="1" x14ac:dyDescent="0.2">
      <c r="A8" s="78">
        <v>1</v>
      </c>
      <c r="B8" s="78">
        <v>2</v>
      </c>
      <c r="C8" s="78">
        <v>3</v>
      </c>
      <c r="D8" s="216"/>
      <c r="E8" s="217"/>
      <c r="F8" s="78">
        <v>4</v>
      </c>
      <c r="G8" s="78">
        <v>5</v>
      </c>
      <c r="H8" s="78">
        <v>6</v>
      </c>
      <c r="I8" s="78">
        <v>7</v>
      </c>
      <c r="J8" s="78">
        <v>8</v>
      </c>
      <c r="K8" s="78">
        <v>9</v>
      </c>
    </row>
    <row r="9" spans="1:12" ht="40.5" customHeight="1" x14ac:dyDescent="0.2">
      <c r="A9" s="218" t="s">
        <v>116</v>
      </c>
      <c r="B9" s="219" t="s">
        <v>834</v>
      </c>
      <c r="D9" s="220"/>
      <c r="E9" s="203"/>
      <c r="F9" s="201"/>
      <c r="G9" s="201"/>
      <c r="H9" s="196"/>
      <c r="I9" s="196"/>
      <c r="J9" s="203"/>
      <c r="K9" s="221"/>
    </row>
    <row r="10" spans="1:12" ht="96" customHeight="1" x14ac:dyDescent="0.2">
      <c r="A10" s="56" t="s">
        <v>66</v>
      </c>
      <c r="B10" s="222" t="s">
        <v>1043</v>
      </c>
      <c r="C10" s="612" t="s">
        <v>1040</v>
      </c>
      <c r="D10" s="223" t="s">
        <v>810</v>
      </c>
      <c r="E10" s="206" t="s">
        <v>1042</v>
      </c>
      <c r="F10" s="187" t="s">
        <v>46</v>
      </c>
      <c r="G10" s="187" t="s">
        <v>4</v>
      </c>
      <c r="H10" s="188">
        <f>(20240490)/1000*$H$5</f>
        <v>20240.490000000002</v>
      </c>
      <c r="I10" s="188">
        <f>H10-(53737)/1000*$H$5</f>
        <v>20186.753000000001</v>
      </c>
      <c r="J10" s="204" t="s">
        <v>47</v>
      </c>
      <c r="K10" s="224"/>
    </row>
    <row r="11" spans="1:12" ht="60" x14ac:dyDescent="0.2">
      <c r="A11" s="56" t="s">
        <v>67</v>
      </c>
      <c r="B11" s="222" t="s">
        <v>242</v>
      </c>
      <c r="C11" s="612"/>
      <c r="D11" s="223" t="s">
        <v>811</v>
      </c>
      <c r="E11" s="206" t="s">
        <v>1044</v>
      </c>
      <c r="F11" s="187" t="s">
        <v>48</v>
      </c>
      <c r="G11" s="187" t="s">
        <v>52</v>
      </c>
      <c r="H11" s="188">
        <f>(3127000/1.18)/1000*$H$5</f>
        <v>2650</v>
      </c>
      <c r="I11" s="188">
        <f>H11-(0)/1000*$H$5</f>
        <v>2650</v>
      </c>
      <c r="J11" s="204" t="s">
        <v>647</v>
      </c>
      <c r="K11" s="224"/>
    </row>
    <row r="12" spans="1:12" ht="48" x14ac:dyDescent="0.2">
      <c r="A12" s="56" t="s">
        <v>68</v>
      </c>
      <c r="B12" s="222" t="s">
        <v>243</v>
      </c>
      <c r="C12" s="612" t="s">
        <v>1041</v>
      </c>
      <c r="D12" s="223" t="s">
        <v>813</v>
      </c>
      <c r="E12" s="204" t="s">
        <v>1045</v>
      </c>
      <c r="F12" s="187" t="s">
        <v>12</v>
      </c>
      <c r="G12" s="187" t="s">
        <v>49</v>
      </c>
      <c r="H12" s="188">
        <f>(11142291.6/1.18)/1000*$H$5</f>
        <v>9442.6200000000008</v>
      </c>
      <c r="I12" s="188">
        <f>H12-(7388413.6)/1000*$H$5</f>
        <v>2054.2064000000009</v>
      </c>
      <c r="J12" s="204" t="s">
        <v>50</v>
      </c>
      <c r="K12" s="224"/>
    </row>
    <row r="13" spans="1:12" ht="72" x14ac:dyDescent="0.2">
      <c r="A13" s="56" t="s">
        <v>69</v>
      </c>
      <c r="B13" s="222" t="s">
        <v>817</v>
      </c>
      <c r="C13" s="612"/>
      <c r="D13" s="223" t="s">
        <v>815</v>
      </c>
      <c r="E13" s="206" t="s">
        <v>1046</v>
      </c>
      <c r="F13" s="187" t="s">
        <v>51</v>
      </c>
      <c r="G13" s="187" t="s">
        <v>52</v>
      </c>
      <c r="H13" s="188">
        <f>(3600000)/1000*$H$5</f>
        <v>3600</v>
      </c>
      <c r="I13" s="188">
        <f t="shared" ref="I13:I37" si="0">H13-(0)/1000*$H$5</f>
        <v>3600</v>
      </c>
      <c r="J13" s="204" t="s">
        <v>53</v>
      </c>
      <c r="K13" s="224"/>
    </row>
    <row r="14" spans="1:12" ht="72" x14ac:dyDescent="0.2">
      <c r="A14" s="56" t="s">
        <v>70</v>
      </c>
      <c r="B14" s="206" t="s">
        <v>816</v>
      </c>
      <c r="C14" s="225"/>
      <c r="D14" s="226" t="s">
        <v>818</v>
      </c>
      <c r="E14" s="204" t="s">
        <v>1047</v>
      </c>
      <c r="F14" s="187" t="s">
        <v>54</v>
      </c>
      <c r="G14" s="187" t="s">
        <v>25</v>
      </c>
      <c r="H14" s="188">
        <f>(2765753)/1000*$H$5</f>
        <v>2765.7530000000002</v>
      </c>
      <c r="I14" s="188">
        <f>H14-(401097)/1000*$H$5</f>
        <v>2364.6559999999999</v>
      </c>
      <c r="J14" s="204" t="s">
        <v>55</v>
      </c>
      <c r="K14" s="224"/>
    </row>
    <row r="15" spans="1:12" ht="60" x14ac:dyDescent="0.2">
      <c r="A15" s="56" t="s">
        <v>71</v>
      </c>
      <c r="B15" s="206" t="s">
        <v>244</v>
      </c>
      <c r="C15" s="225"/>
      <c r="D15" s="226" t="s">
        <v>820</v>
      </c>
      <c r="E15" s="204" t="s">
        <v>1048</v>
      </c>
      <c r="F15" s="187" t="s">
        <v>56</v>
      </c>
      <c r="G15" s="187" t="s">
        <v>52</v>
      </c>
      <c r="H15" s="188">
        <f>(5000000)/1000*$H$5</f>
        <v>5000</v>
      </c>
      <c r="I15" s="188">
        <f t="shared" si="0"/>
        <v>5000</v>
      </c>
      <c r="J15" s="204" t="s">
        <v>170</v>
      </c>
      <c r="K15" s="224"/>
    </row>
    <row r="16" spans="1:12" ht="84" x14ac:dyDescent="0.2">
      <c r="A16" s="56" t="s">
        <v>72</v>
      </c>
      <c r="B16" s="206" t="s">
        <v>821</v>
      </c>
      <c r="C16" s="612" t="s">
        <v>1050</v>
      </c>
      <c r="D16" s="226" t="s">
        <v>822</v>
      </c>
      <c r="E16" s="204" t="s">
        <v>1049</v>
      </c>
      <c r="F16" s="187" t="s">
        <v>4</v>
      </c>
      <c r="G16" s="187" t="s">
        <v>7</v>
      </c>
      <c r="H16" s="188">
        <f>(5947000)/1000*$H$5</f>
        <v>5947</v>
      </c>
      <c r="I16" s="188">
        <f>H16-(322033.9)/1000*$H$5</f>
        <v>5624.9660999999996</v>
      </c>
      <c r="J16" s="204" t="s">
        <v>57</v>
      </c>
      <c r="K16" s="224"/>
    </row>
    <row r="17" spans="1:11" ht="67.5" customHeight="1" x14ac:dyDescent="0.2">
      <c r="A17" s="56" t="s">
        <v>73</v>
      </c>
      <c r="B17" s="206" t="s">
        <v>823</v>
      </c>
      <c r="C17" s="612"/>
      <c r="D17" s="226" t="s">
        <v>824</v>
      </c>
      <c r="E17" s="204" t="s">
        <v>823</v>
      </c>
      <c r="F17" s="187" t="s">
        <v>58</v>
      </c>
      <c r="G17" s="187" t="s">
        <v>58</v>
      </c>
      <c r="H17" s="188">
        <f>(720000)/1000*$H$5</f>
        <v>720</v>
      </c>
      <c r="I17" s="188">
        <f>H17-(128844)/1000*$H$5</f>
        <v>591.15599999999995</v>
      </c>
      <c r="J17" s="204" t="s">
        <v>59</v>
      </c>
      <c r="K17" s="224"/>
    </row>
    <row r="18" spans="1:11" ht="36" x14ac:dyDescent="0.2">
      <c r="A18" s="56" t="s">
        <v>74</v>
      </c>
      <c r="B18" s="206" t="s">
        <v>825</v>
      </c>
      <c r="C18" s="612"/>
      <c r="D18" s="226" t="s">
        <v>832</v>
      </c>
      <c r="E18" s="204" t="s">
        <v>825</v>
      </c>
      <c r="F18" s="187" t="s">
        <v>60</v>
      </c>
      <c r="G18" s="187" t="s">
        <v>60</v>
      </c>
      <c r="H18" s="188">
        <f>(700000)/1000*$H$5</f>
        <v>700</v>
      </c>
      <c r="I18" s="188">
        <f t="shared" si="0"/>
        <v>700</v>
      </c>
      <c r="J18" s="204" t="s">
        <v>59</v>
      </c>
      <c r="K18" s="224"/>
    </row>
    <row r="19" spans="1:11" ht="36" x14ac:dyDescent="0.2">
      <c r="A19" s="56" t="s">
        <v>75</v>
      </c>
      <c r="B19" s="206" t="s">
        <v>826</v>
      </c>
      <c r="C19" s="225"/>
      <c r="D19" s="226" t="s">
        <v>828</v>
      </c>
      <c r="E19" s="204" t="s">
        <v>59</v>
      </c>
      <c r="F19" s="187" t="s">
        <v>61</v>
      </c>
      <c r="G19" s="187" t="s">
        <v>61</v>
      </c>
      <c r="H19" s="188">
        <f>(720000)/1000*$H$5</f>
        <v>720</v>
      </c>
      <c r="I19" s="188">
        <f t="shared" si="0"/>
        <v>720</v>
      </c>
      <c r="J19" s="204" t="s">
        <v>59</v>
      </c>
      <c r="K19" s="224"/>
    </row>
    <row r="20" spans="1:11" ht="36" x14ac:dyDescent="0.2">
      <c r="A20" s="56" t="s">
        <v>76</v>
      </c>
      <c r="B20" s="206" t="s">
        <v>827</v>
      </c>
      <c r="C20" s="225"/>
      <c r="D20" s="226" t="s">
        <v>829</v>
      </c>
      <c r="E20" s="204" t="s">
        <v>827</v>
      </c>
      <c r="F20" s="187" t="s">
        <v>62</v>
      </c>
      <c r="G20" s="187" t="s">
        <v>62</v>
      </c>
      <c r="H20" s="188">
        <f>(730000)/1000*$H$5</f>
        <v>730</v>
      </c>
      <c r="I20" s="188">
        <f t="shared" si="0"/>
        <v>730</v>
      </c>
      <c r="J20" s="204" t="s">
        <v>59</v>
      </c>
      <c r="K20" s="224"/>
    </row>
    <row r="21" spans="1:11" ht="36" x14ac:dyDescent="0.2">
      <c r="A21" s="56" t="s">
        <v>77</v>
      </c>
      <c r="B21" s="206" t="s">
        <v>245</v>
      </c>
      <c r="C21" s="225"/>
      <c r="D21" s="226" t="s">
        <v>831</v>
      </c>
      <c r="E21" s="206" t="s">
        <v>245</v>
      </c>
      <c r="F21" s="187" t="s">
        <v>16</v>
      </c>
      <c r="G21" s="187" t="s">
        <v>63</v>
      </c>
      <c r="H21" s="188">
        <f>(170917+20177971)/1000*$H$5</f>
        <v>20348.887999999999</v>
      </c>
      <c r="I21" s="188">
        <f>H21-(2286003+6277093)/1000*$H$5</f>
        <v>11785.791999999999</v>
      </c>
      <c r="J21" s="204" t="s">
        <v>64</v>
      </c>
      <c r="K21" s="224"/>
    </row>
    <row r="22" spans="1:11" ht="140.25" customHeight="1" x14ac:dyDescent="0.2">
      <c r="A22" s="56" t="s">
        <v>80</v>
      </c>
      <c r="B22" s="206" t="s">
        <v>853</v>
      </c>
      <c r="C22" s="200" t="s">
        <v>1062</v>
      </c>
      <c r="D22" s="176" t="s">
        <v>854</v>
      </c>
      <c r="E22" s="200" t="s">
        <v>1051</v>
      </c>
      <c r="F22" s="187" t="s">
        <v>78</v>
      </c>
      <c r="G22" s="187" t="s">
        <v>7</v>
      </c>
      <c r="H22" s="188">
        <f>(3293513)/1000*$H$5</f>
        <v>3293.5129999999999</v>
      </c>
      <c r="I22" s="188">
        <f t="shared" si="0"/>
        <v>3293.5129999999999</v>
      </c>
      <c r="J22" s="204" t="s">
        <v>79</v>
      </c>
      <c r="K22" s="224"/>
    </row>
    <row r="23" spans="1:11" ht="96" x14ac:dyDescent="0.2">
      <c r="A23" s="56" t="s">
        <v>82</v>
      </c>
      <c r="B23" s="206" t="s">
        <v>247</v>
      </c>
      <c r="C23" s="583" t="s">
        <v>1136</v>
      </c>
      <c r="D23" s="176" t="s">
        <v>855</v>
      </c>
      <c r="E23" s="204" t="s">
        <v>1052</v>
      </c>
      <c r="F23" s="187" t="s">
        <v>84</v>
      </c>
      <c r="G23" s="187" t="s">
        <v>7</v>
      </c>
      <c r="H23" s="188">
        <f>(15724959.7)/1000*$H$5</f>
        <v>15724.959699999999</v>
      </c>
      <c r="I23" s="188">
        <f t="shared" si="0"/>
        <v>15724.959699999999</v>
      </c>
      <c r="J23" s="204" t="s">
        <v>85</v>
      </c>
      <c r="K23" s="224"/>
    </row>
    <row r="24" spans="1:11" ht="132" x14ac:dyDescent="0.2">
      <c r="A24" s="56" t="s">
        <v>87</v>
      </c>
      <c r="B24" s="206" t="s">
        <v>247</v>
      </c>
      <c r="C24" s="583"/>
      <c r="D24" s="176" t="s">
        <v>856</v>
      </c>
      <c r="E24" s="204" t="s">
        <v>1053</v>
      </c>
      <c r="F24" s="187" t="s">
        <v>86</v>
      </c>
      <c r="G24" s="187" t="s">
        <v>22</v>
      </c>
      <c r="H24" s="188">
        <f>(13589383)/1000*$H$5</f>
        <v>13589.383</v>
      </c>
      <c r="I24" s="188">
        <f t="shared" si="0"/>
        <v>13589.383</v>
      </c>
      <c r="J24" s="204" t="s">
        <v>109</v>
      </c>
      <c r="K24" s="224"/>
    </row>
    <row r="25" spans="1:11" ht="120" x14ac:dyDescent="0.2">
      <c r="A25" s="56" t="s">
        <v>88</v>
      </c>
      <c r="B25" s="206" t="s">
        <v>118</v>
      </c>
      <c r="C25" s="583"/>
      <c r="D25" s="176" t="s">
        <v>857</v>
      </c>
      <c r="E25" s="204" t="s">
        <v>1054</v>
      </c>
      <c r="F25" s="187" t="s">
        <v>91</v>
      </c>
      <c r="G25" s="189" t="s">
        <v>873</v>
      </c>
      <c r="H25" s="188">
        <f>(9015373)/1000*$H$5</f>
        <v>9015.3729999999996</v>
      </c>
      <c r="I25" s="188">
        <f t="shared" si="0"/>
        <v>9015.3729999999996</v>
      </c>
      <c r="J25" s="204" t="s">
        <v>110</v>
      </c>
      <c r="K25" s="224"/>
    </row>
    <row r="26" spans="1:11" ht="96" x14ac:dyDescent="0.2">
      <c r="A26" s="56" t="s">
        <v>89</v>
      </c>
      <c r="B26" s="206" t="s">
        <v>247</v>
      </c>
      <c r="C26" s="583"/>
      <c r="D26" s="176" t="s">
        <v>859</v>
      </c>
      <c r="E26" s="204" t="s">
        <v>1055</v>
      </c>
      <c r="F26" s="187" t="s">
        <v>93</v>
      </c>
      <c r="G26" s="189" t="s">
        <v>872</v>
      </c>
      <c r="H26" s="188">
        <f>(21058242)/1000*$H$5</f>
        <v>21058.241999999998</v>
      </c>
      <c r="I26" s="188">
        <f t="shared" si="0"/>
        <v>21058.241999999998</v>
      </c>
      <c r="J26" s="204" t="s">
        <v>108</v>
      </c>
      <c r="K26" s="224"/>
    </row>
    <row r="27" spans="1:11" ht="96" x14ac:dyDescent="0.2">
      <c r="A27" s="56" t="s">
        <v>90</v>
      </c>
      <c r="B27" s="206" t="s">
        <v>247</v>
      </c>
      <c r="C27" s="583"/>
      <c r="D27" s="176" t="s">
        <v>864</v>
      </c>
      <c r="E27" s="204" t="s">
        <v>1056</v>
      </c>
      <c r="F27" s="187" t="s">
        <v>60</v>
      </c>
      <c r="G27" s="187" t="s">
        <v>95</v>
      </c>
      <c r="H27" s="188">
        <f>(2279276)/1000*$H$5</f>
        <v>2279.2759999999998</v>
      </c>
      <c r="I27" s="188">
        <f t="shared" si="0"/>
        <v>2279.2759999999998</v>
      </c>
      <c r="J27" s="204" t="s">
        <v>111</v>
      </c>
      <c r="K27" s="224"/>
    </row>
    <row r="28" spans="1:11" ht="96" x14ac:dyDescent="0.2">
      <c r="A28" s="56" t="s">
        <v>96</v>
      </c>
      <c r="B28" s="206" t="s">
        <v>247</v>
      </c>
      <c r="C28" s="583"/>
      <c r="D28" s="176" t="s">
        <v>863</v>
      </c>
      <c r="E28" s="204" t="s">
        <v>1057</v>
      </c>
      <c r="F28" s="187" t="s">
        <v>95</v>
      </c>
      <c r="G28" s="187" t="s">
        <v>9</v>
      </c>
      <c r="H28" s="188">
        <f>(1136955)/1000*$H$5</f>
        <v>1136.9549999999999</v>
      </c>
      <c r="I28" s="188">
        <f t="shared" si="0"/>
        <v>1136.9549999999999</v>
      </c>
      <c r="J28" s="204" t="s">
        <v>112</v>
      </c>
      <c r="K28" s="224"/>
    </row>
    <row r="29" spans="1:11" ht="84" customHeight="1" x14ac:dyDescent="0.2">
      <c r="A29" s="56" t="s">
        <v>97</v>
      </c>
      <c r="B29" s="206" t="s">
        <v>247</v>
      </c>
      <c r="C29" s="583"/>
      <c r="D29" s="176" t="s">
        <v>866</v>
      </c>
      <c r="E29" s="204" t="s">
        <v>1058</v>
      </c>
      <c r="F29" s="187" t="s">
        <v>101</v>
      </c>
      <c r="G29" s="189" t="s">
        <v>638</v>
      </c>
      <c r="H29" s="188">
        <f>(8510364)/1000*$H$5</f>
        <v>8510.3639999999996</v>
      </c>
      <c r="I29" s="188">
        <f t="shared" si="0"/>
        <v>8510.3639999999996</v>
      </c>
      <c r="J29" s="204" t="s">
        <v>113</v>
      </c>
      <c r="K29" s="224"/>
    </row>
    <row r="30" spans="1:11" ht="41.25" customHeight="1" x14ac:dyDescent="0.2">
      <c r="A30" s="56" t="s">
        <v>98</v>
      </c>
      <c r="B30" s="206" t="s">
        <v>247</v>
      </c>
      <c r="C30" s="583"/>
      <c r="D30" s="176" t="s">
        <v>868</v>
      </c>
      <c r="E30" s="204" t="s">
        <v>869</v>
      </c>
      <c r="F30" s="187" t="s">
        <v>103</v>
      </c>
      <c r="G30" s="187" t="s">
        <v>104</v>
      </c>
      <c r="H30" s="188">
        <f>(2290335)/1000*$H$5</f>
        <v>2290.335</v>
      </c>
      <c r="I30" s="188">
        <f t="shared" si="0"/>
        <v>2290.335</v>
      </c>
      <c r="J30" s="204" t="s">
        <v>105</v>
      </c>
      <c r="K30" s="224"/>
    </row>
    <row r="31" spans="1:11" ht="132" x14ac:dyDescent="0.2">
      <c r="A31" s="56" t="s">
        <v>99</v>
      </c>
      <c r="B31" s="206" t="s">
        <v>247</v>
      </c>
      <c r="C31" s="583"/>
      <c r="D31" s="176" t="s">
        <v>871</v>
      </c>
      <c r="E31" s="204" t="s">
        <v>1059</v>
      </c>
      <c r="F31" s="187" t="s">
        <v>104</v>
      </c>
      <c r="G31" s="189" t="s">
        <v>874</v>
      </c>
      <c r="H31" s="188">
        <f>(7629477)/1000*$H$5</f>
        <v>7629.4769999999999</v>
      </c>
      <c r="I31" s="188">
        <f t="shared" si="0"/>
        <v>7629.4769999999999</v>
      </c>
      <c r="J31" s="204" t="s">
        <v>114</v>
      </c>
      <c r="K31" s="224"/>
    </row>
    <row r="32" spans="1:11" ht="108" x14ac:dyDescent="0.2">
      <c r="A32" s="56" t="s">
        <v>100</v>
      </c>
      <c r="B32" s="206" t="s">
        <v>247</v>
      </c>
      <c r="C32" s="583"/>
      <c r="D32" s="176" t="s">
        <v>877</v>
      </c>
      <c r="E32" s="204" t="s">
        <v>1060</v>
      </c>
      <c r="F32" s="187" t="s">
        <v>16</v>
      </c>
      <c r="G32" s="187" t="s">
        <v>107</v>
      </c>
      <c r="H32" s="188">
        <f>(1831211)/1000*$H$5</f>
        <v>1831.211</v>
      </c>
      <c r="I32" s="188">
        <f t="shared" si="0"/>
        <v>1831.211</v>
      </c>
      <c r="J32" s="204" t="s">
        <v>875</v>
      </c>
      <c r="K32" s="224"/>
    </row>
    <row r="33" spans="1:11" ht="156" x14ac:dyDescent="0.2">
      <c r="A33" s="75" t="s">
        <v>149</v>
      </c>
      <c r="B33" s="227" t="s">
        <v>146</v>
      </c>
      <c r="C33" s="199" t="s">
        <v>1063</v>
      </c>
      <c r="D33" s="181" t="s">
        <v>879</v>
      </c>
      <c r="E33" s="199" t="s">
        <v>1061</v>
      </c>
      <c r="F33" s="202" t="s">
        <v>124</v>
      </c>
      <c r="G33" s="202" t="s">
        <v>56</v>
      </c>
      <c r="H33" s="193">
        <f>(407667.34/1.18)/1000*$H$5</f>
        <v>345.48079661016953</v>
      </c>
      <c r="I33" s="193">
        <f>H33</f>
        <v>345.48079661016953</v>
      </c>
      <c r="J33" s="205" t="s">
        <v>125</v>
      </c>
      <c r="K33" s="228"/>
    </row>
    <row r="34" spans="1:11" ht="50.25" customHeight="1" x14ac:dyDescent="0.2">
      <c r="A34" s="229" t="s">
        <v>148</v>
      </c>
      <c r="B34" s="219" t="s">
        <v>249</v>
      </c>
      <c r="C34" s="230" t="s">
        <v>1017</v>
      </c>
      <c r="D34" s="182"/>
      <c r="E34" s="198"/>
      <c r="F34" s="201"/>
      <c r="G34" s="201"/>
      <c r="H34" s="196">
        <f>(0)/1000*$H$5</f>
        <v>0</v>
      </c>
      <c r="I34" s="196">
        <f t="shared" si="0"/>
        <v>0</v>
      </c>
      <c r="J34" s="203"/>
      <c r="K34" s="231"/>
    </row>
    <row r="35" spans="1:11" ht="42.75" customHeight="1" x14ac:dyDescent="0.2">
      <c r="A35" s="56" t="s">
        <v>122</v>
      </c>
      <c r="B35" s="206" t="s">
        <v>248</v>
      </c>
      <c r="C35" s="617" t="s">
        <v>1067</v>
      </c>
      <c r="D35" s="176" t="s">
        <v>880</v>
      </c>
      <c r="E35" s="200" t="s">
        <v>248</v>
      </c>
      <c r="F35" s="187" t="s">
        <v>119</v>
      </c>
      <c r="G35" s="187" t="s">
        <v>119</v>
      </c>
      <c r="H35" s="188">
        <f>(448400/1.18)/1000*$H$5</f>
        <v>380</v>
      </c>
      <c r="I35" s="188">
        <f t="shared" si="0"/>
        <v>380</v>
      </c>
      <c r="J35" s="204" t="s">
        <v>120</v>
      </c>
      <c r="K35" s="59"/>
    </row>
    <row r="36" spans="1:11" ht="82.5" customHeight="1" x14ac:dyDescent="0.2">
      <c r="A36" s="56" t="s">
        <v>123</v>
      </c>
      <c r="B36" s="206" t="s">
        <v>881</v>
      </c>
      <c r="C36" s="617"/>
      <c r="D36" s="176" t="s">
        <v>882</v>
      </c>
      <c r="E36" s="204" t="s">
        <v>1065</v>
      </c>
      <c r="F36" s="187" t="s">
        <v>13</v>
      </c>
      <c r="G36" s="187" t="s">
        <v>8</v>
      </c>
      <c r="H36" s="188">
        <f>(2300000)/1000*$H$5</f>
        <v>2300</v>
      </c>
      <c r="I36" s="188">
        <f t="shared" si="0"/>
        <v>2300</v>
      </c>
      <c r="J36" s="204" t="s">
        <v>171</v>
      </c>
      <c r="K36" s="59"/>
    </row>
    <row r="37" spans="1:11" ht="120" x14ac:dyDescent="0.2">
      <c r="A37" s="56" t="s">
        <v>150</v>
      </c>
      <c r="B37" s="206" t="s">
        <v>251</v>
      </c>
      <c r="C37" s="617"/>
      <c r="D37" s="176" t="s">
        <v>883</v>
      </c>
      <c r="E37" s="204" t="s">
        <v>1066</v>
      </c>
      <c r="F37" s="187" t="s">
        <v>126</v>
      </c>
      <c r="G37" s="187" t="s">
        <v>127</v>
      </c>
      <c r="H37" s="188">
        <f>(650000)/1000*$H$5</f>
        <v>650</v>
      </c>
      <c r="I37" s="188">
        <f t="shared" si="0"/>
        <v>650</v>
      </c>
      <c r="J37" s="204" t="s">
        <v>121</v>
      </c>
      <c r="K37" s="59"/>
    </row>
    <row r="38" spans="1:11" ht="69" customHeight="1" x14ac:dyDescent="0.2">
      <c r="A38" s="56" t="s">
        <v>151</v>
      </c>
      <c r="B38" s="206" t="s">
        <v>1069</v>
      </c>
      <c r="C38" s="617" t="s">
        <v>1070</v>
      </c>
      <c r="D38" s="176" t="s">
        <v>885</v>
      </c>
      <c r="E38" s="204" t="s">
        <v>1069</v>
      </c>
      <c r="F38" s="187" t="s">
        <v>51</v>
      </c>
      <c r="G38" s="187" t="s">
        <v>56</v>
      </c>
      <c r="H38" s="188">
        <f>(2300000)/1000*$H$5</f>
        <v>2300</v>
      </c>
      <c r="I38" s="188">
        <f>H38-(61506)/1000*$H$5</f>
        <v>2238.4940000000001</v>
      </c>
      <c r="J38" s="204" t="s">
        <v>121</v>
      </c>
      <c r="K38" s="59"/>
    </row>
    <row r="39" spans="1:11" ht="69" customHeight="1" x14ac:dyDescent="0.2">
      <c r="A39" s="56" t="s">
        <v>152</v>
      </c>
      <c r="B39" s="206" t="s">
        <v>253</v>
      </c>
      <c r="C39" s="617"/>
      <c r="D39" s="176" t="s">
        <v>886</v>
      </c>
      <c r="E39" s="206" t="s">
        <v>253</v>
      </c>
      <c r="F39" s="187" t="s">
        <v>51</v>
      </c>
      <c r="G39" s="187" t="s">
        <v>124</v>
      </c>
      <c r="H39" s="188">
        <f>(2300000)/1000*$H$5</f>
        <v>2300</v>
      </c>
      <c r="I39" s="188">
        <f>H39-(0)/1000*$H$5</f>
        <v>2300</v>
      </c>
      <c r="J39" s="204" t="s">
        <v>172</v>
      </c>
      <c r="K39" s="59"/>
    </row>
    <row r="40" spans="1:11" ht="60" x14ac:dyDescent="0.2">
      <c r="A40" s="56" t="s">
        <v>153</v>
      </c>
      <c r="B40" s="206" t="s">
        <v>890</v>
      </c>
      <c r="C40" s="617"/>
      <c r="D40" s="176" t="s">
        <v>1068</v>
      </c>
      <c r="E40" s="206" t="s">
        <v>890</v>
      </c>
      <c r="F40" s="187" t="s">
        <v>124</v>
      </c>
      <c r="G40" s="187" t="s">
        <v>129</v>
      </c>
      <c r="H40" s="188">
        <f>(1416000/1.18)/1000*$H$5</f>
        <v>1200</v>
      </c>
      <c r="I40" s="188">
        <f>H40-(0)/1000*$H$5</f>
        <v>1200</v>
      </c>
      <c r="J40" s="204" t="s">
        <v>128</v>
      </c>
      <c r="K40" s="59"/>
    </row>
    <row r="41" spans="1:11" ht="96" x14ac:dyDescent="0.2">
      <c r="A41" s="56" t="s">
        <v>154</v>
      </c>
      <c r="B41" s="206" t="s">
        <v>254</v>
      </c>
      <c r="C41" s="232"/>
      <c r="D41" s="176" t="s">
        <v>888</v>
      </c>
      <c r="E41" s="204" t="s">
        <v>1137</v>
      </c>
      <c r="F41" s="187" t="s">
        <v>49</v>
      </c>
      <c r="G41" s="187" t="s">
        <v>25</v>
      </c>
      <c r="H41" s="188">
        <f>(4600000)/1000*$H$5</f>
        <v>4600</v>
      </c>
      <c r="I41" s="188">
        <f>H41-(32790)/1000*$H$5</f>
        <v>4567.21</v>
      </c>
      <c r="J41" s="204" t="s">
        <v>130</v>
      </c>
      <c r="K41" s="59"/>
    </row>
    <row r="42" spans="1:11" ht="96" x14ac:dyDescent="0.2">
      <c r="A42" s="56" t="s">
        <v>155</v>
      </c>
      <c r="B42" s="206" t="s">
        <v>255</v>
      </c>
      <c r="C42" s="232"/>
      <c r="D42" s="176" t="s">
        <v>889</v>
      </c>
      <c r="E42" s="204" t="s">
        <v>1071</v>
      </c>
      <c r="F42" s="187" t="s">
        <v>56</v>
      </c>
      <c r="G42" s="187" t="s">
        <v>7</v>
      </c>
      <c r="H42" s="188">
        <f>(1896068)/1000*$H$5</f>
        <v>1896.068</v>
      </c>
      <c r="I42" s="188">
        <f>H42-(510000)/1000*$H$5</f>
        <v>1386.068</v>
      </c>
      <c r="J42" s="204" t="s">
        <v>131</v>
      </c>
      <c r="K42" s="59"/>
    </row>
    <row r="43" spans="1:11" ht="66" customHeight="1" x14ac:dyDescent="0.2">
      <c r="A43" s="56" t="s">
        <v>156</v>
      </c>
      <c r="B43" s="206" t="s">
        <v>892</v>
      </c>
      <c r="C43" s="232"/>
      <c r="D43" s="176" t="s">
        <v>894</v>
      </c>
      <c r="E43" s="206" t="s">
        <v>892</v>
      </c>
      <c r="F43" s="187" t="s">
        <v>132</v>
      </c>
      <c r="G43" s="187" t="s">
        <v>14</v>
      </c>
      <c r="H43" s="188">
        <f>(1420000)/1000*$H$5</f>
        <v>1420</v>
      </c>
      <c r="I43" s="188">
        <f t="shared" ref="I43:I105" si="1">H43-(0)/1000*$H$5</f>
        <v>1420</v>
      </c>
      <c r="J43" s="204" t="s">
        <v>128</v>
      </c>
      <c r="K43" s="59"/>
    </row>
    <row r="44" spans="1:11" ht="96" x14ac:dyDescent="0.2">
      <c r="A44" s="56" t="s">
        <v>157</v>
      </c>
      <c r="B44" s="206" t="s">
        <v>256</v>
      </c>
      <c r="C44" s="232"/>
      <c r="D44" s="176" t="s">
        <v>897</v>
      </c>
      <c r="E44" s="204" t="s">
        <v>1072</v>
      </c>
      <c r="F44" s="187" t="s">
        <v>4</v>
      </c>
      <c r="G44" s="187" t="s">
        <v>86</v>
      </c>
      <c r="H44" s="188">
        <f>(5583000)/1000*$H$5</f>
        <v>5583</v>
      </c>
      <c r="I44" s="188">
        <f>H44-(901966)/1000*$H$5</f>
        <v>4681.0339999999997</v>
      </c>
      <c r="J44" s="204" t="s">
        <v>134</v>
      </c>
      <c r="K44" s="59"/>
    </row>
    <row r="45" spans="1:11" ht="60" x14ac:dyDescent="0.2">
      <c r="A45" s="56" t="s">
        <v>158</v>
      </c>
      <c r="B45" s="206" t="s">
        <v>895</v>
      </c>
      <c r="C45" s="617" t="s">
        <v>1064</v>
      </c>
      <c r="D45" s="176" t="s">
        <v>896</v>
      </c>
      <c r="E45" s="204" t="s">
        <v>1073</v>
      </c>
      <c r="F45" s="187" t="s">
        <v>4</v>
      </c>
      <c r="G45" s="189" t="s">
        <v>649</v>
      </c>
      <c r="H45" s="188">
        <f>(42143938)/1000*$H$5</f>
        <v>42143.938000000002</v>
      </c>
      <c r="I45" s="188">
        <f>H45-(27790161.6)/1000*$H$5</f>
        <v>14353.776399999999</v>
      </c>
      <c r="J45" s="204" t="s">
        <v>133</v>
      </c>
      <c r="K45" s="59"/>
    </row>
    <row r="46" spans="1:11" ht="84" x14ac:dyDescent="0.2">
      <c r="A46" s="56" t="s">
        <v>159</v>
      </c>
      <c r="B46" s="206" t="s">
        <v>257</v>
      </c>
      <c r="C46" s="617"/>
      <c r="D46" s="176" t="s">
        <v>898</v>
      </c>
      <c r="E46" s="204" t="s">
        <v>1074</v>
      </c>
      <c r="F46" s="187" t="s">
        <v>14</v>
      </c>
      <c r="G46" s="187" t="s">
        <v>7</v>
      </c>
      <c r="H46" s="188">
        <f>(7800000)/1000*$H$5</f>
        <v>7800</v>
      </c>
      <c r="I46" s="188">
        <f>H46-(886884)/1000*$H$5</f>
        <v>6913.116</v>
      </c>
      <c r="J46" s="204" t="s">
        <v>135</v>
      </c>
      <c r="K46" s="59"/>
    </row>
    <row r="47" spans="1:11" ht="72" x14ac:dyDescent="0.2">
      <c r="A47" s="56" t="s">
        <v>160</v>
      </c>
      <c r="B47" s="206" t="s">
        <v>1075</v>
      </c>
      <c r="C47" s="617"/>
      <c r="D47" s="176" t="s">
        <v>899</v>
      </c>
      <c r="E47" s="204" t="s">
        <v>1076</v>
      </c>
      <c r="F47" s="187" t="s">
        <v>58</v>
      </c>
      <c r="G47" s="187" t="s">
        <v>9</v>
      </c>
      <c r="H47" s="188">
        <f>(5200000)/1000*$H$5</f>
        <v>5200</v>
      </c>
      <c r="I47" s="188">
        <f t="shared" si="1"/>
        <v>5200</v>
      </c>
      <c r="J47" s="204" t="s">
        <v>136</v>
      </c>
      <c r="K47" s="59"/>
    </row>
    <row r="48" spans="1:11" ht="48" x14ac:dyDescent="0.2">
      <c r="A48" s="56" t="s">
        <v>161</v>
      </c>
      <c r="B48" s="206" t="s">
        <v>1077</v>
      </c>
      <c r="C48" s="232"/>
      <c r="D48" s="176" t="s">
        <v>900</v>
      </c>
      <c r="E48" s="206" t="s">
        <v>1077</v>
      </c>
      <c r="F48" s="187" t="s">
        <v>93</v>
      </c>
      <c r="G48" s="187" t="s">
        <v>137</v>
      </c>
      <c r="H48" s="188">
        <f>(700000)/1000*$H$5</f>
        <v>700</v>
      </c>
      <c r="I48" s="188">
        <f>H48-(370000)/1000*$H$5</f>
        <v>330</v>
      </c>
      <c r="J48" s="204" t="s">
        <v>128</v>
      </c>
      <c r="K48" s="59"/>
    </row>
    <row r="49" spans="1:13" ht="60" x14ac:dyDescent="0.2">
      <c r="A49" s="56" t="s">
        <v>162</v>
      </c>
      <c r="B49" s="206" t="s">
        <v>260</v>
      </c>
      <c r="C49" s="232"/>
      <c r="D49" s="176" t="s">
        <v>901</v>
      </c>
      <c r="E49" s="206" t="s">
        <v>260</v>
      </c>
      <c r="F49" s="187" t="s">
        <v>137</v>
      </c>
      <c r="G49" s="187" t="s">
        <v>95</v>
      </c>
      <c r="H49" s="188">
        <f>(1050000)/1000*$H$5</f>
        <v>1050</v>
      </c>
      <c r="I49" s="188">
        <f t="shared" si="1"/>
        <v>1050</v>
      </c>
      <c r="J49" s="204" t="s">
        <v>128</v>
      </c>
      <c r="K49" s="59"/>
    </row>
    <row r="50" spans="1:13" ht="72" x14ac:dyDescent="0.2">
      <c r="A50" s="56" t="s">
        <v>163</v>
      </c>
      <c r="B50" s="206" t="s">
        <v>902</v>
      </c>
      <c r="C50" s="232"/>
      <c r="D50" s="176" t="s">
        <v>903</v>
      </c>
      <c r="E50" s="200" t="s">
        <v>1078</v>
      </c>
      <c r="F50" s="187" t="s">
        <v>91</v>
      </c>
      <c r="G50" s="187" t="s">
        <v>95</v>
      </c>
      <c r="H50" s="188">
        <f>(3066113)/1000*$H$5</f>
        <v>3066.1129999999998</v>
      </c>
      <c r="I50" s="188">
        <f t="shared" si="1"/>
        <v>3066.1129999999998</v>
      </c>
      <c r="J50" s="204" t="s">
        <v>138</v>
      </c>
      <c r="K50" s="59"/>
    </row>
    <row r="51" spans="1:13" ht="72" x14ac:dyDescent="0.2">
      <c r="A51" s="56" t="s">
        <v>164</v>
      </c>
      <c r="B51" s="206" t="s">
        <v>905</v>
      </c>
      <c r="C51" s="232"/>
      <c r="D51" s="176" t="s">
        <v>906</v>
      </c>
      <c r="E51" s="200" t="s">
        <v>1079</v>
      </c>
      <c r="F51" s="187" t="s">
        <v>60</v>
      </c>
      <c r="G51" s="187" t="s">
        <v>139</v>
      </c>
      <c r="H51" s="188">
        <f>(5238644)/1000*$H$5</f>
        <v>5238.6440000000002</v>
      </c>
      <c r="I51" s="188">
        <f t="shared" si="1"/>
        <v>5238.6440000000002</v>
      </c>
      <c r="J51" s="204" t="s">
        <v>140</v>
      </c>
      <c r="K51" s="59"/>
    </row>
    <row r="52" spans="1:13" ht="60" x14ac:dyDescent="0.2">
      <c r="A52" s="56" t="s">
        <v>165</v>
      </c>
      <c r="B52" s="206" t="s">
        <v>907</v>
      </c>
      <c r="C52" s="232"/>
      <c r="D52" s="176" t="s">
        <v>908</v>
      </c>
      <c r="E52" s="200" t="s">
        <v>1080</v>
      </c>
      <c r="F52" s="187" t="s">
        <v>95</v>
      </c>
      <c r="G52" s="187" t="s">
        <v>9</v>
      </c>
      <c r="H52" s="188">
        <f>(2995000)/1000*$H$5</f>
        <v>2995</v>
      </c>
      <c r="I52" s="188">
        <f t="shared" si="1"/>
        <v>2995</v>
      </c>
      <c r="J52" s="204" t="s">
        <v>140</v>
      </c>
      <c r="K52" s="59"/>
    </row>
    <row r="53" spans="1:13" ht="48" x14ac:dyDescent="0.2">
      <c r="A53" s="56" t="s">
        <v>166</v>
      </c>
      <c r="B53" s="206" t="s">
        <v>263</v>
      </c>
      <c r="C53" s="232"/>
      <c r="D53" s="176" t="s">
        <v>909</v>
      </c>
      <c r="E53" s="204" t="s">
        <v>1081</v>
      </c>
      <c r="F53" s="187" t="s">
        <v>141</v>
      </c>
      <c r="G53" s="189" t="s">
        <v>910</v>
      </c>
      <c r="H53" s="188">
        <f>(4930000)/1000*$H$5</f>
        <v>4930</v>
      </c>
      <c r="I53" s="188">
        <f t="shared" si="1"/>
        <v>4930</v>
      </c>
      <c r="J53" s="204" t="s">
        <v>143</v>
      </c>
      <c r="K53" s="59"/>
    </row>
    <row r="54" spans="1:13" ht="84" x14ac:dyDescent="0.2">
      <c r="A54" s="56" t="s">
        <v>167</v>
      </c>
      <c r="B54" s="206" t="s">
        <v>264</v>
      </c>
      <c r="C54" s="583" t="s">
        <v>1083</v>
      </c>
      <c r="D54" s="176" t="s">
        <v>1082</v>
      </c>
      <c r="E54" s="204" t="s">
        <v>1084</v>
      </c>
      <c r="F54" s="187" t="s">
        <v>86</v>
      </c>
      <c r="G54" s="187" t="s">
        <v>95</v>
      </c>
      <c r="H54" s="188">
        <f>(3048480)/1000*$H$5</f>
        <v>3048.48</v>
      </c>
      <c r="I54" s="188">
        <f t="shared" si="1"/>
        <v>3048.48</v>
      </c>
      <c r="J54" s="204" t="s">
        <v>144</v>
      </c>
      <c r="K54" s="59"/>
    </row>
    <row r="55" spans="1:13" ht="93.75" customHeight="1" x14ac:dyDescent="0.2">
      <c r="A55" s="56" t="s">
        <v>168</v>
      </c>
      <c r="B55" s="206" t="s">
        <v>265</v>
      </c>
      <c r="C55" s="583"/>
      <c r="D55" s="176" t="s">
        <v>916</v>
      </c>
      <c r="E55" s="204" t="s">
        <v>1085</v>
      </c>
      <c r="F55" s="187" t="s">
        <v>103</v>
      </c>
      <c r="G55" s="189" t="s">
        <v>915</v>
      </c>
      <c r="H55" s="188">
        <f>(3942141)/1000*$H$5</f>
        <v>3942.1410000000001</v>
      </c>
      <c r="I55" s="188">
        <f t="shared" si="1"/>
        <v>3942.1410000000001</v>
      </c>
      <c r="J55" s="204" t="s">
        <v>143</v>
      </c>
      <c r="K55" s="59"/>
    </row>
    <row r="56" spans="1:13" ht="145.5" customHeight="1" x14ac:dyDescent="0.2">
      <c r="A56" s="56" t="s">
        <v>297</v>
      </c>
      <c r="B56" s="206" t="s">
        <v>296</v>
      </c>
      <c r="C56" s="200" t="s">
        <v>1087</v>
      </c>
      <c r="D56" s="176" t="s">
        <v>911</v>
      </c>
      <c r="E56" s="204" t="s">
        <v>1086</v>
      </c>
      <c r="F56" s="187" t="s">
        <v>13</v>
      </c>
      <c r="G56" s="189" t="s">
        <v>48</v>
      </c>
      <c r="H56" s="188">
        <f>(1397275.21)/1000*$H$5</f>
        <v>1397.27521</v>
      </c>
      <c r="I56" s="188">
        <f t="shared" si="1"/>
        <v>1397.27521</v>
      </c>
      <c r="J56" s="204" t="s">
        <v>144</v>
      </c>
      <c r="K56" s="59"/>
    </row>
    <row r="57" spans="1:13" ht="144.75" customHeight="1" x14ac:dyDescent="0.2">
      <c r="A57" s="56" t="s">
        <v>306</v>
      </c>
      <c r="B57" s="206" t="s">
        <v>913</v>
      </c>
      <c r="C57" s="200" t="s">
        <v>1088</v>
      </c>
      <c r="D57" s="176" t="s">
        <v>912</v>
      </c>
      <c r="E57" s="204" t="s">
        <v>1089</v>
      </c>
      <c r="F57" s="187" t="s">
        <v>78</v>
      </c>
      <c r="G57" s="189" t="s">
        <v>52</v>
      </c>
      <c r="H57" s="188">
        <f>(1460000)/1000*$H$5</f>
        <v>1460</v>
      </c>
      <c r="I57" s="188">
        <f t="shared" si="1"/>
        <v>1460</v>
      </c>
      <c r="J57" s="204" t="s">
        <v>144</v>
      </c>
      <c r="K57" s="59"/>
    </row>
    <row r="58" spans="1:13" ht="48.75" customHeight="1" x14ac:dyDescent="0.2">
      <c r="A58" s="233" t="s">
        <v>186</v>
      </c>
      <c r="B58" s="219" t="s">
        <v>799</v>
      </c>
      <c r="C58" s="230" t="s">
        <v>1090</v>
      </c>
      <c r="D58" s="182"/>
      <c r="E58" s="198"/>
      <c r="F58" s="201"/>
      <c r="G58" s="234"/>
      <c r="H58" s="196"/>
      <c r="I58" s="196"/>
      <c r="J58" s="203"/>
      <c r="K58" s="231"/>
    </row>
    <row r="59" spans="1:13" ht="104.25" customHeight="1" x14ac:dyDescent="0.2">
      <c r="A59" s="56" t="s">
        <v>173</v>
      </c>
      <c r="B59" s="206" t="s">
        <v>919</v>
      </c>
      <c r="C59" s="200" t="s">
        <v>1091</v>
      </c>
      <c r="D59" s="176" t="s">
        <v>918</v>
      </c>
      <c r="E59" s="204" t="s">
        <v>1093</v>
      </c>
      <c r="F59" s="187" t="s">
        <v>25</v>
      </c>
      <c r="G59" s="189" t="s">
        <v>86</v>
      </c>
      <c r="H59" s="188">
        <f>(5990000)/1000*$H$5</f>
        <v>5990</v>
      </c>
      <c r="I59" s="188">
        <f>H59-(2790000)/1000*$H$5</f>
        <v>3200</v>
      </c>
      <c r="J59" s="204" t="s">
        <v>184</v>
      </c>
      <c r="K59" s="59"/>
    </row>
    <row r="60" spans="1:13" ht="108" x14ac:dyDescent="0.2">
      <c r="A60" s="56" t="s">
        <v>187</v>
      </c>
      <c r="B60" s="206" t="s">
        <v>921</v>
      </c>
      <c r="C60" s="200" t="s">
        <v>1092</v>
      </c>
      <c r="D60" s="176" t="s">
        <v>920</v>
      </c>
      <c r="E60" s="204" t="s">
        <v>1094</v>
      </c>
      <c r="F60" s="189" t="s">
        <v>86</v>
      </c>
      <c r="G60" s="189" t="s">
        <v>139</v>
      </c>
      <c r="H60" s="188">
        <f>(6100000)/1000*$H$5</f>
        <v>6100</v>
      </c>
      <c r="I60" s="188">
        <f>H60-(2790)/1000*$H$5</f>
        <v>6097.21</v>
      </c>
      <c r="J60" s="204" t="s">
        <v>185</v>
      </c>
      <c r="K60" s="59"/>
    </row>
    <row r="61" spans="1:13" ht="165.75" customHeight="1" x14ac:dyDescent="0.2">
      <c r="A61" s="75" t="s">
        <v>188</v>
      </c>
      <c r="B61" s="235" t="s">
        <v>922</v>
      </c>
      <c r="C61" s="199" t="s">
        <v>1095</v>
      </c>
      <c r="D61" s="181" t="s">
        <v>923</v>
      </c>
      <c r="E61" s="204" t="s">
        <v>1096</v>
      </c>
      <c r="F61" s="202" t="s">
        <v>46</v>
      </c>
      <c r="G61" s="236" t="s">
        <v>48</v>
      </c>
      <c r="H61" s="193">
        <f>(22567584.09)/1000*$H$5</f>
        <v>22567.58409</v>
      </c>
      <c r="I61" s="193">
        <f>H61-(1513641+2800000+165000)/1000*$H$5</f>
        <v>18088.943090000001</v>
      </c>
      <c r="J61" s="205" t="s">
        <v>189</v>
      </c>
      <c r="K61" s="228"/>
    </row>
    <row r="62" spans="1:13" ht="52.5" customHeight="1" x14ac:dyDescent="0.2">
      <c r="A62" s="233" t="s">
        <v>190</v>
      </c>
      <c r="B62" s="219" t="s">
        <v>307</v>
      </c>
      <c r="C62" s="582" t="s">
        <v>1097</v>
      </c>
      <c r="D62" s="176"/>
      <c r="E62" s="200"/>
      <c r="F62" s="187"/>
      <c r="G62" s="189"/>
      <c r="H62" s="188"/>
      <c r="I62" s="188"/>
      <c r="J62" s="204"/>
      <c r="K62" s="59"/>
    </row>
    <row r="63" spans="1:13" ht="81" customHeight="1" x14ac:dyDescent="0.2">
      <c r="A63" s="56" t="s">
        <v>191</v>
      </c>
      <c r="B63" s="206" t="s">
        <v>924</v>
      </c>
      <c r="C63" s="583"/>
      <c r="D63" s="176" t="s">
        <v>928</v>
      </c>
      <c r="E63" s="204" t="s">
        <v>924</v>
      </c>
      <c r="F63" s="187" t="s">
        <v>223</v>
      </c>
      <c r="G63" s="189" t="s">
        <v>1098</v>
      </c>
      <c r="H63" s="188">
        <f>(647023052.63)/1000*$H$5</f>
        <v>647023.05263000005</v>
      </c>
      <c r="I63" s="188">
        <f>H63-(3069504.4)/1000*$H$5</f>
        <v>643953.54823000007</v>
      </c>
      <c r="J63" s="204" t="s">
        <v>224</v>
      </c>
      <c r="K63" s="59"/>
      <c r="L63" s="60" t="s">
        <v>657</v>
      </c>
      <c r="M63" s="60">
        <v>647023052.63</v>
      </c>
    </row>
    <row r="64" spans="1:13" ht="81.75" customHeight="1" x14ac:dyDescent="0.2">
      <c r="A64" s="56" t="s">
        <v>192</v>
      </c>
      <c r="B64" s="206" t="s">
        <v>926</v>
      </c>
      <c r="C64" s="232"/>
      <c r="D64" s="176" t="s">
        <v>927</v>
      </c>
      <c r="E64" s="200" t="s">
        <v>1099</v>
      </c>
      <c r="F64" s="187" t="s">
        <v>31</v>
      </c>
      <c r="G64" s="187" t="s">
        <v>11</v>
      </c>
      <c r="H64" s="188">
        <f>(263049495)/1000*$H$5</f>
        <v>263049.495</v>
      </c>
      <c r="I64" s="188">
        <f>H64-(3429672+4392871+1527542)/1000*$H$5</f>
        <v>253699.41</v>
      </c>
      <c r="J64" s="204" t="s">
        <v>225</v>
      </c>
      <c r="K64" s="59"/>
    </row>
    <row r="65" spans="1:13" ht="60" x14ac:dyDescent="0.2">
      <c r="A65" s="56" t="s">
        <v>193</v>
      </c>
      <c r="B65" s="206" t="s">
        <v>226</v>
      </c>
      <c r="C65" s="232"/>
      <c r="D65" s="176" t="s">
        <v>659</v>
      </c>
      <c r="E65" s="200" t="s">
        <v>1100</v>
      </c>
      <c r="F65" s="187" t="s">
        <v>227</v>
      </c>
      <c r="G65" s="189" t="s">
        <v>1102</v>
      </c>
      <c r="H65" s="188">
        <f>(1071063203.31)/1000*$H$5</f>
        <v>1071063.20331</v>
      </c>
      <c r="I65" s="188">
        <f>H65-(213273640+1475718+31875722+14558003+15523386+31999188+33739055+9912986+24735430)/1000*$H$5</f>
        <v>693970.07530999999</v>
      </c>
      <c r="J65" s="204" t="s">
        <v>185</v>
      </c>
      <c r="K65" s="59"/>
      <c r="L65" s="60" t="s">
        <v>659</v>
      </c>
      <c r="M65" s="60">
        <v>1071063203.3099999</v>
      </c>
    </row>
    <row r="66" spans="1:13" ht="30" customHeight="1" x14ac:dyDescent="0.2">
      <c r="A66" s="56" t="s">
        <v>194</v>
      </c>
      <c r="B66" s="206" t="s">
        <v>228</v>
      </c>
      <c r="C66" s="232"/>
      <c r="D66" s="176" t="s">
        <v>662</v>
      </c>
      <c r="E66" s="200" t="s">
        <v>1101</v>
      </c>
      <c r="F66" s="187" t="s">
        <v>13</v>
      </c>
      <c r="G66" s="189" t="s">
        <v>1102</v>
      </c>
      <c r="H66" s="188">
        <f>(580672306.54)/1000*$H$5</f>
        <v>580672.30654000002</v>
      </c>
      <c r="I66" s="188">
        <f>H66-(131445396+7611196+8912693+1312680)/1000*$H$5</f>
        <v>431390.34154000005</v>
      </c>
      <c r="J66" s="204" t="s">
        <v>229</v>
      </c>
      <c r="K66" s="59"/>
      <c r="L66" s="60" t="s">
        <v>662</v>
      </c>
      <c r="M66" s="60">
        <v>579856493.53999996</v>
      </c>
    </row>
    <row r="67" spans="1:13" ht="76.5" customHeight="1" x14ac:dyDescent="0.2">
      <c r="A67" s="56" t="s">
        <v>195</v>
      </c>
      <c r="B67" s="206" t="s">
        <v>929</v>
      </c>
      <c r="C67" s="583" t="s">
        <v>1103</v>
      </c>
      <c r="D67" s="176" t="s">
        <v>663</v>
      </c>
      <c r="E67" s="200" t="s">
        <v>1104</v>
      </c>
      <c r="F67" s="187" t="s">
        <v>61</v>
      </c>
      <c r="G67" s="189" t="s">
        <v>1105</v>
      </c>
      <c r="H67" s="188">
        <f>(91393947.83)/1000*$H$5</f>
        <v>91393.947830000005</v>
      </c>
      <c r="I67" s="188">
        <f t="shared" ref="I67:I81" si="2">H67-(0)/1000*$H$5</f>
        <v>91393.947830000005</v>
      </c>
      <c r="J67" s="204" t="s">
        <v>237</v>
      </c>
      <c r="K67" s="59"/>
      <c r="L67" s="60" t="s">
        <v>663</v>
      </c>
    </row>
    <row r="68" spans="1:13" ht="36" x14ac:dyDescent="0.2">
      <c r="A68" s="56" t="s">
        <v>196</v>
      </c>
      <c r="B68" s="206" t="s">
        <v>238</v>
      </c>
      <c r="C68" s="583"/>
      <c r="D68" s="176" t="s">
        <v>665</v>
      </c>
      <c r="E68" s="206" t="s">
        <v>238</v>
      </c>
      <c r="F68" s="187" t="s">
        <v>103</v>
      </c>
      <c r="G68" s="189" t="s">
        <v>1106</v>
      </c>
      <c r="H68" s="188">
        <f>(32343860)/1000*$H$5</f>
        <v>32343.86</v>
      </c>
      <c r="I68" s="188">
        <f t="shared" si="2"/>
        <v>32343.86</v>
      </c>
      <c r="J68" s="204" t="s">
        <v>239</v>
      </c>
      <c r="K68" s="59"/>
      <c r="L68" s="60" t="s">
        <v>665</v>
      </c>
    </row>
    <row r="69" spans="1:13" ht="68.25" customHeight="1" x14ac:dyDescent="0.2">
      <c r="A69" s="56" t="s">
        <v>197</v>
      </c>
      <c r="B69" s="206" t="s">
        <v>1109</v>
      </c>
      <c r="C69" s="200" t="s">
        <v>1107</v>
      </c>
      <c r="D69" s="176" t="s">
        <v>930</v>
      </c>
      <c r="E69" s="206" t="s">
        <v>1108</v>
      </c>
      <c r="F69" s="187" t="s">
        <v>35</v>
      </c>
      <c r="G69" s="187" t="s">
        <v>230</v>
      </c>
      <c r="H69" s="188">
        <f>(11102044)/1000*$H$5</f>
        <v>11102.044</v>
      </c>
      <c r="I69" s="188">
        <f t="shared" si="2"/>
        <v>11102.044</v>
      </c>
      <c r="J69" s="204" t="s">
        <v>335</v>
      </c>
      <c r="K69" s="59"/>
    </row>
    <row r="70" spans="1:13" ht="52.5" customHeight="1" x14ac:dyDescent="0.2">
      <c r="A70" s="56" t="s">
        <v>198</v>
      </c>
      <c r="B70" s="206" t="s">
        <v>932</v>
      </c>
      <c r="C70" s="583" t="s">
        <v>1112</v>
      </c>
      <c r="D70" s="176" t="s">
        <v>933</v>
      </c>
      <c r="E70" s="206" t="s">
        <v>1110</v>
      </c>
      <c r="F70" s="187" t="s">
        <v>61</v>
      </c>
      <c r="G70" s="187" t="s">
        <v>61</v>
      </c>
      <c r="H70" s="188">
        <f>(1441492)/1000*$H$5</f>
        <v>1441.492</v>
      </c>
      <c r="I70" s="188">
        <f t="shared" si="2"/>
        <v>1441.492</v>
      </c>
      <c r="J70" s="204" t="s">
        <v>235</v>
      </c>
      <c r="K70" s="59"/>
    </row>
    <row r="71" spans="1:13" ht="45.75" customHeight="1" x14ac:dyDescent="0.2">
      <c r="A71" s="56" t="s">
        <v>199</v>
      </c>
      <c r="B71" s="206" t="s">
        <v>240</v>
      </c>
      <c r="C71" s="583"/>
      <c r="D71" s="176"/>
      <c r="E71" s="206" t="s">
        <v>1111</v>
      </c>
      <c r="F71" s="187" t="s">
        <v>62</v>
      </c>
      <c r="G71" s="187" t="s">
        <v>16</v>
      </c>
      <c r="H71" s="188">
        <f>(2545771)/1000*$H$5</f>
        <v>2545.7710000000002</v>
      </c>
      <c r="I71" s="188">
        <f t="shared" si="2"/>
        <v>2545.7710000000002</v>
      </c>
      <c r="J71" s="204" t="s">
        <v>241</v>
      </c>
      <c r="K71" s="59"/>
    </row>
    <row r="72" spans="1:13" ht="144" x14ac:dyDescent="0.2">
      <c r="A72" s="56" t="s">
        <v>200</v>
      </c>
      <c r="B72" s="206" t="s">
        <v>1115</v>
      </c>
      <c r="C72" s="204" t="s">
        <v>1113</v>
      </c>
      <c r="D72" s="226" t="s">
        <v>938</v>
      </c>
      <c r="E72" s="204" t="s">
        <v>1138</v>
      </c>
      <c r="F72" s="187" t="s">
        <v>8</v>
      </c>
      <c r="G72" s="187" t="s">
        <v>9</v>
      </c>
      <c r="H72" s="188">
        <f>(33456472)/1000*$H$5</f>
        <v>33456.472000000002</v>
      </c>
      <c r="I72" s="188">
        <f t="shared" si="2"/>
        <v>33456.472000000002</v>
      </c>
      <c r="J72" s="204" t="s">
        <v>936</v>
      </c>
      <c r="K72" s="59"/>
    </row>
    <row r="73" spans="1:13" ht="132" x14ac:dyDescent="0.2">
      <c r="A73" s="56" t="s">
        <v>201</v>
      </c>
      <c r="B73" s="206" t="s">
        <v>940</v>
      </c>
      <c r="C73" s="204" t="s">
        <v>1116</v>
      </c>
      <c r="D73" s="226" t="s">
        <v>546</v>
      </c>
      <c r="E73" s="204" t="s">
        <v>1114</v>
      </c>
      <c r="F73" s="187" t="s">
        <v>48</v>
      </c>
      <c r="G73" s="187" t="s">
        <v>9</v>
      </c>
      <c r="H73" s="188">
        <f>(96537111)/1000*$H$5</f>
        <v>96537.111000000004</v>
      </c>
      <c r="I73" s="188">
        <f>H73-(0)/1000*$H$5</f>
        <v>96537.111000000004</v>
      </c>
      <c r="J73" s="204" t="s">
        <v>545</v>
      </c>
      <c r="K73" s="59"/>
      <c r="L73" s="60" t="s">
        <v>546</v>
      </c>
    </row>
    <row r="74" spans="1:13" ht="96" x14ac:dyDescent="0.2">
      <c r="A74" s="56" t="s">
        <v>202</v>
      </c>
      <c r="B74" s="190" t="s">
        <v>942</v>
      </c>
      <c r="C74" s="204" t="s">
        <v>1180</v>
      </c>
      <c r="D74" s="176" t="s">
        <v>944</v>
      </c>
      <c r="E74" s="204" t="s">
        <v>1117</v>
      </c>
      <c r="F74" s="187" t="s">
        <v>13</v>
      </c>
      <c r="G74" s="187" t="s">
        <v>181</v>
      </c>
      <c r="H74" s="188">
        <f>(28683341.69)/1000*$H$5</f>
        <v>28683.341690000001</v>
      </c>
      <c r="I74" s="188">
        <f>H74-(5640762+8136815)/1000*$H$5</f>
        <v>14905.764690000002</v>
      </c>
      <c r="J74" s="204" t="s">
        <v>34</v>
      </c>
      <c r="K74" s="59"/>
    </row>
    <row r="75" spans="1:13" ht="48" x14ac:dyDescent="0.2">
      <c r="A75" s="56" t="s">
        <v>203</v>
      </c>
      <c r="B75" s="190" t="s">
        <v>945</v>
      </c>
      <c r="C75" s="200" t="s">
        <v>337</v>
      </c>
      <c r="D75" s="176" t="s">
        <v>946</v>
      </c>
      <c r="E75" s="204" t="s">
        <v>1118</v>
      </c>
      <c r="F75" s="187" t="s">
        <v>8</v>
      </c>
      <c r="G75" s="187" t="s">
        <v>295</v>
      </c>
      <c r="H75" s="188">
        <f>(2645492)/1000*$H$5</f>
        <v>2645.4920000000002</v>
      </c>
      <c r="I75" s="188">
        <f t="shared" si="2"/>
        <v>2645.4920000000002</v>
      </c>
      <c r="J75" s="204" t="s">
        <v>294</v>
      </c>
      <c r="K75" s="59"/>
    </row>
    <row r="76" spans="1:13" ht="80.25" customHeight="1" x14ac:dyDescent="0.2">
      <c r="A76" s="56" t="s">
        <v>204</v>
      </c>
      <c r="B76" s="190" t="s">
        <v>299</v>
      </c>
      <c r="C76" s="200" t="s">
        <v>1181</v>
      </c>
      <c r="D76" s="176" t="s">
        <v>950</v>
      </c>
      <c r="E76" s="204" t="s">
        <v>951</v>
      </c>
      <c r="F76" s="187" t="s">
        <v>36</v>
      </c>
      <c r="G76" s="187" t="s">
        <v>37</v>
      </c>
      <c r="H76" s="188">
        <v>8400</v>
      </c>
      <c r="I76" s="188">
        <v>8400</v>
      </c>
      <c r="J76" s="204" t="s">
        <v>38</v>
      </c>
      <c r="K76" s="59"/>
      <c r="L76" s="60">
        <v>3</v>
      </c>
    </row>
    <row r="77" spans="1:13" ht="112.5" customHeight="1" x14ac:dyDescent="0.2">
      <c r="A77" s="56" t="s">
        <v>205</v>
      </c>
      <c r="B77" s="206" t="s">
        <v>23</v>
      </c>
      <c r="C77" s="200" t="s">
        <v>1119</v>
      </c>
      <c r="D77" s="176" t="s">
        <v>947</v>
      </c>
      <c r="E77" s="204" t="s">
        <v>1120</v>
      </c>
      <c r="F77" s="187" t="s">
        <v>12</v>
      </c>
      <c r="G77" s="187" t="s">
        <v>25</v>
      </c>
      <c r="H77" s="188">
        <f>(6953730.8)/1000*$H$5</f>
        <v>6953.7307999999994</v>
      </c>
      <c r="I77" s="188">
        <f>H77-(0)/1000*$H$5</f>
        <v>6953.7307999999994</v>
      </c>
      <c r="J77" s="204" t="s">
        <v>948</v>
      </c>
      <c r="K77" s="59"/>
      <c r="L77" s="60" t="s">
        <v>947</v>
      </c>
      <c r="M77" s="60">
        <v>68</v>
      </c>
    </row>
    <row r="78" spans="1:13" ht="67.5" customHeight="1" x14ac:dyDescent="0.2">
      <c r="A78" s="56" t="s">
        <v>206</v>
      </c>
      <c r="B78" s="206" t="s">
        <v>300</v>
      </c>
      <c r="C78" s="200" t="s">
        <v>302</v>
      </c>
      <c r="D78" s="176" t="s">
        <v>952</v>
      </c>
      <c r="E78" s="204" t="s">
        <v>1121</v>
      </c>
      <c r="F78" s="187" t="s">
        <v>5</v>
      </c>
      <c r="G78" s="187" t="s">
        <v>7</v>
      </c>
      <c r="H78" s="188">
        <f>(3599389.4/1.18)/1000*$H$5</f>
        <v>3050.33</v>
      </c>
      <c r="I78" s="188">
        <f t="shared" si="2"/>
        <v>3050.33</v>
      </c>
      <c r="J78" s="204" t="s">
        <v>301</v>
      </c>
      <c r="K78" s="59"/>
    </row>
    <row r="79" spans="1:13" ht="82.5" customHeight="1" x14ac:dyDescent="0.2">
      <c r="A79" s="56" t="s">
        <v>207</v>
      </c>
      <c r="B79" s="206" t="s">
        <v>303</v>
      </c>
      <c r="C79" s="200" t="s">
        <v>305</v>
      </c>
      <c r="D79" s="176" t="s">
        <v>622</v>
      </c>
      <c r="E79" s="204" t="s">
        <v>1122</v>
      </c>
      <c r="F79" s="187" t="s">
        <v>139</v>
      </c>
      <c r="G79" s="187" t="s">
        <v>211</v>
      </c>
      <c r="H79" s="188">
        <f>(5412330)/1000*$H$5</f>
        <v>5412.33</v>
      </c>
      <c r="I79" s="188">
        <f t="shared" si="2"/>
        <v>5412.33</v>
      </c>
      <c r="J79" s="204" t="s">
        <v>304</v>
      </c>
      <c r="K79" s="59"/>
      <c r="L79" s="60" t="s">
        <v>622</v>
      </c>
    </row>
    <row r="80" spans="1:13" hidden="1" x14ac:dyDescent="0.2">
      <c r="A80" s="56"/>
      <c r="B80" s="206"/>
      <c r="C80" s="200"/>
      <c r="D80" s="176"/>
      <c r="E80" s="200"/>
      <c r="F80" s="187"/>
      <c r="G80" s="189"/>
      <c r="H80" s="193">
        <f>(0)/1000*$H$5</f>
        <v>0</v>
      </c>
      <c r="I80" s="193">
        <f t="shared" si="2"/>
        <v>0</v>
      </c>
      <c r="J80" s="204"/>
      <c r="K80" s="59"/>
    </row>
    <row r="81" spans="1:11" hidden="1" x14ac:dyDescent="0.2">
      <c r="A81" s="56"/>
      <c r="B81" s="206"/>
      <c r="C81" s="200"/>
      <c r="D81" s="176"/>
      <c r="E81" s="200"/>
      <c r="F81" s="187"/>
      <c r="G81" s="189"/>
      <c r="H81" s="193">
        <f>(0)/1000*$H$5</f>
        <v>0</v>
      </c>
      <c r="I81" s="193">
        <f t="shared" si="2"/>
        <v>0</v>
      </c>
      <c r="J81" s="204"/>
      <c r="K81" s="59"/>
    </row>
    <row r="82" spans="1:11" ht="50.25" customHeight="1" x14ac:dyDescent="0.2">
      <c r="A82" s="237" t="s">
        <v>308</v>
      </c>
      <c r="B82" s="219" t="s">
        <v>338</v>
      </c>
      <c r="C82" s="230"/>
      <c r="D82" s="182"/>
      <c r="E82" s="198"/>
      <c r="F82" s="201"/>
      <c r="G82" s="201"/>
      <c r="H82" s="196">
        <f>(0)/1000*$H$5</f>
        <v>0</v>
      </c>
      <c r="I82" s="196">
        <f t="shared" si="1"/>
        <v>0</v>
      </c>
      <c r="J82" s="203"/>
      <c r="K82" s="231"/>
    </row>
    <row r="83" spans="1:11" ht="57" customHeight="1" x14ac:dyDescent="0.2">
      <c r="A83" s="56" t="s">
        <v>213</v>
      </c>
      <c r="B83" s="206" t="s">
        <v>266</v>
      </c>
      <c r="C83" s="583" t="s">
        <v>1124</v>
      </c>
      <c r="D83" s="176" t="s">
        <v>1123</v>
      </c>
      <c r="E83" s="204" t="s">
        <v>1125</v>
      </c>
      <c r="F83" s="187" t="s">
        <v>174</v>
      </c>
      <c r="G83" s="187" t="s">
        <v>8</v>
      </c>
      <c r="H83" s="188">
        <f>(1935198.82/1.18)/1000*$H$5</f>
        <v>1639.9990000000003</v>
      </c>
      <c r="I83" s="188">
        <f t="shared" si="1"/>
        <v>1639.9990000000003</v>
      </c>
      <c r="J83" s="204" t="s">
        <v>128</v>
      </c>
      <c r="K83" s="59"/>
    </row>
    <row r="84" spans="1:11" ht="66" customHeight="1" x14ac:dyDescent="0.2">
      <c r="A84" s="56" t="s">
        <v>214</v>
      </c>
      <c r="B84" s="206" t="s">
        <v>267</v>
      </c>
      <c r="C84" s="583"/>
      <c r="D84" s="176" t="s">
        <v>955</v>
      </c>
      <c r="E84" s="204" t="s">
        <v>1126</v>
      </c>
      <c r="F84" s="187" t="s">
        <v>46</v>
      </c>
      <c r="G84" s="187" t="s">
        <v>126</v>
      </c>
      <c r="H84" s="188">
        <f>(570000)/1000*$H$5</f>
        <v>570</v>
      </c>
      <c r="I84" s="188">
        <f t="shared" si="1"/>
        <v>570</v>
      </c>
      <c r="J84" s="204" t="s">
        <v>175</v>
      </c>
      <c r="K84" s="59"/>
    </row>
    <row r="85" spans="1:11" ht="60" x14ac:dyDescent="0.2">
      <c r="A85" s="56" t="s">
        <v>215</v>
      </c>
      <c r="B85" s="206" t="s">
        <v>268</v>
      </c>
      <c r="C85" s="583" t="s">
        <v>1139</v>
      </c>
      <c r="D85" s="176" t="s">
        <v>956</v>
      </c>
      <c r="E85" s="204" t="s">
        <v>1127</v>
      </c>
      <c r="F85" s="187" t="s">
        <v>176</v>
      </c>
      <c r="G85" s="187" t="s">
        <v>176</v>
      </c>
      <c r="H85" s="188">
        <f>(259600/1.18)/1000*$H$5</f>
        <v>220</v>
      </c>
      <c r="I85" s="188">
        <f t="shared" si="1"/>
        <v>220</v>
      </c>
      <c r="J85" s="204" t="s">
        <v>128</v>
      </c>
      <c r="K85" s="59"/>
    </row>
    <row r="86" spans="1:11" ht="60" x14ac:dyDescent="0.2">
      <c r="A86" s="56" t="s">
        <v>216</v>
      </c>
      <c r="B86" s="206" t="s">
        <v>269</v>
      </c>
      <c r="C86" s="583"/>
      <c r="D86" s="176" t="s">
        <v>957</v>
      </c>
      <c r="E86" s="204" t="s">
        <v>1128</v>
      </c>
      <c r="F86" s="187" t="s">
        <v>177</v>
      </c>
      <c r="G86" s="187" t="s">
        <v>177</v>
      </c>
      <c r="H86" s="188">
        <f>(218300/1.18)/1000*$H$5</f>
        <v>185</v>
      </c>
      <c r="I86" s="188">
        <f t="shared" si="1"/>
        <v>185</v>
      </c>
      <c r="J86" s="204" t="s">
        <v>128</v>
      </c>
      <c r="K86" s="59"/>
    </row>
    <row r="87" spans="1:11" ht="96" x14ac:dyDescent="0.2">
      <c r="A87" s="56" t="s">
        <v>217</v>
      </c>
      <c r="B87" s="206" t="s">
        <v>270</v>
      </c>
      <c r="C87" s="232"/>
      <c r="D87" s="176" t="s">
        <v>958</v>
      </c>
      <c r="E87" s="204" t="s">
        <v>1129</v>
      </c>
      <c r="F87" s="187" t="s">
        <v>177</v>
      </c>
      <c r="G87" s="187" t="s">
        <v>54</v>
      </c>
      <c r="H87" s="188">
        <f>(390000)/1000*$H$5</f>
        <v>390</v>
      </c>
      <c r="I87" s="188">
        <f t="shared" si="1"/>
        <v>390</v>
      </c>
      <c r="J87" s="204" t="s">
        <v>175</v>
      </c>
      <c r="K87" s="59"/>
    </row>
    <row r="88" spans="1:11" ht="45" x14ac:dyDescent="0.2">
      <c r="A88" s="56" t="s">
        <v>309</v>
      </c>
      <c r="B88" s="206" t="s">
        <v>271</v>
      </c>
      <c r="C88" s="232"/>
      <c r="D88" s="176" t="s">
        <v>959</v>
      </c>
      <c r="E88" s="204" t="s">
        <v>1130</v>
      </c>
      <c r="F88" s="187" t="s">
        <v>12</v>
      </c>
      <c r="G88" s="187" t="s">
        <v>12</v>
      </c>
      <c r="H88" s="188">
        <f>(279660/1.18)/1000*$H$5</f>
        <v>237</v>
      </c>
      <c r="I88" s="188">
        <f t="shared" si="1"/>
        <v>237</v>
      </c>
      <c r="J88" s="204" t="s">
        <v>178</v>
      </c>
      <c r="K88" s="59"/>
    </row>
    <row r="89" spans="1:11" ht="45" x14ac:dyDescent="0.2">
      <c r="A89" s="56" t="s">
        <v>310</v>
      </c>
      <c r="B89" s="206" t="s">
        <v>272</v>
      </c>
      <c r="C89" s="232"/>
      <c r="D89" s="176" t="s">
        <v>960</v>
      </c>
      <c r="E89" s="204" t="s">
        <v>1131</v>
      </c>
      <c r="F89" s="187" t="s">
        <v>179</v>
      </c>
      <c r="G89" s="187" t="s">
        <v>52</v>
      </c>
      <c r="H89" s="188">
        <f>(731598.82/1.18)/1000*$H$5</f>
        <v>619.99900000000002</v>
      </c>
      <c r="I89" s="188">
        <f t="shared" si="1"/>
        <v>619.99900000000002</v>
      </c>
      <c r="J89" s="204" t="s">
        <v>178</v>
      </c>
      <c r="K89" s="59"/>
    </row>
    <row r="90" spans="1:11" ht="45" x14ac:dyDescent="0.2">
      <c r="A90" s="56" t="s">
        <v>311</v>
      </c>
      <c r="B90" s="206" t="s">
        <v>273</v>
      </c>
      <c r="C90" s="232"/>
      <c r="D90" s="176" t="s">
        <v>961</v>
      </c>
      <c r="E90" s="204" t="s">
        <v>1132</v>
      </c>
      <c r="F90" s="187" t="s">
        <v>181</v>
      </c>
      <c r="G90" s="187" t="s">
        <v>51</v>
      </c>
      <c r="H90" s="188">
        <f>(70800/1.18)/1000*$H$5</f>
        <v>60</v>
      </c>
      <c r="I90" s="188">
        <f t="shared" si="1"/>
        <v>60</v>
      </c>
      <c r="J90" s="204" t="s">
        <v>180</v>
      </c>
      <c r="K90" s="59"/>
    </row>
    <row r="91" spans="1:11" ht="72" x14ac:dyDescent="0.2">
      <c r="A91" s="56" t="s">
        <v>312</v>
      </c>
      <c r="B91" s="206" t="s">
        <v>1133</v>
      </c>
      <c r="C91" s="583" t="s">
        <v>1140</v>
      </c>
      <c r="D91" s="176" t="s">
        <v>962</v>
      </c>
      <c r="E91" s="204" t="s">
        <v>1134</v>
      </c>
      <c r="F91" s="187" t="s">
        <v>56</v>
      </c>
      <c r="G91" s="187" t="s">
        <v>129</v>
      </c>
      <c r="H91" s="188">
        <f>(300000)/1000*$H$5</f>
        <v>300</v>
      </c>
      <c r="I91" s="188">
        <f t="shared" si="1"/>
        <v>300</v>
      </c>
      <c r="J91" s="204" t="s">
        <v>178</v>
      </c>
      <c r="K91" s="59"/>
    </row>
    <row r="92" spans="1:11" ht="84" x14ac:dyDescent="0.2">
      <c r="A92" s="56" t="s">
        <v>313</v>
      </c>
      <c r="B92" s="206" t="s">
        <v>275</v>
      </c>
      <c r="C92" s="583"/>
      <c r="D92" s="176" t="s">
        <v>963</v>
      </c>
      <c r="E92" s="204" t="s">
        <v>1135</v>
      </c>
      <c r="F92" s="187" t="s">
        <v>56</v>
      </c>
      <c r="G92" s="187" t="s">
        <v>52</v>
      </c>
      <c r="H92" s="188">
        <f>(780000)/1000*$H$5</f>
        <v>780</v>
      </c>
      <c r="I92" s="188">
        <f t="shared" si="1"/>
        <v>780</v>
      </c>
      <c r="J92" s="204" t="s">
        <v>175</v>
      </c>
      <c r="K92" s="59"/>
    </row>
    <row r="93" spans="1:11" ht="33.75" x14ac:dyDescent="0.2">
      <c r="A93" s="56" t="s">
        <v>314</v>
      </c>
      <c r="B93" s="206" t="s">
        <v>276</v>
      </c>
      <c r="C93" s="191"/>
      <c r="D93" s="176" t="s">
        <v>964</v>
      </c>
      <c r="E93" s="204" t="s">
        <v>276</v>
      </c>
      <c r="F93" s="187" t="s">
        <v>132</v>
      </c>
      <c r="G93" s="187" t="s">
        <v>7</v>
      </c>
      <c r="H93" s="188">
        <f>(2285000)/1000*$H$5</f>
        <v>2285</v>
      </c>
      <c r="I93" s="188">
        <f t="shared" si="1"/>
        <v>2285</v>
      </c>
      <c r="J93" s="204" t="s">
        <v>182</v>
      </c>
      <c r="K93" s="59"/>
    </row>
    <row r="94" spans="1:11" ht="52.5" customHeight="1" x14ac:dyDescent="0.2">
      <c r="A94" s="56" t="s">
        <v>315</v>
      </c>
      <c r="B94" s="206" t="s">
        <v>277</v>
      </c>
      <c r="C94" s="583" t="s">
        <v>1141</v>
      </c>
      <c r="D94" s="176" t="s">
        <v>965</v>
      </c>
      <c r="E94" s="204" t="s">
        <v>1142</v>
      </c>
      <c r="F94" s="187" t="s">
        <v>4</v>
      </c>
      <c r="G94" s="187" t="s">
        <v>14</v>
      </c>
      <c r="H94" s="188">
        <f>(7400000)/1000*$H$5</f>
        <v>7400</v>
      </c>
      <c r="I94" s="188">
        <f>H94-(3960545+263553)/1000*$H$5</f>
        <v>3175.902</v>
      </c>
      <c r="J94" s="204" t="s">
        <v>136</v>
      </c>
      <c r="K94" s="59"/>
    </row>
    <row r="95" spans="1:11" ht="33.75" x14ac:dyDescent="0.2">
      <c r="A95" s="56" t="s">
        <v>316</v>
      </c>
      <c r="B95" s="206" t="s">
        <v>278</v>
      </c>
      <c r="C95" s="583"/>
      <c r="D95" s="176" t="s">
        <v>966</v>
      </c>
      <c r="E95" s="206" t="s">
        <v>278</v>
      </c>
      <c r="F95" s="187" t="s">
        <v>24</v>
      </c>
      <c r="G95" s="187" t="s">
        <v>95</v>
      </c>
      <c r="H95" s="188">
        <f>(1949000)/1000*$H$5</f>
        <v>1949</v>
      </c>
      <c r="I95" s="188">
        <f t="shared" si="1"/>
        <v>1949</v>
      </c>
      <c r="J95" s="204" t="s">
        <v>182</v>
      </c>
      <c r="K95" s="59"/>
    </row>
    <row r="96" spans="1:11" ht="36" x14ac:dyDescent="0.2">
      <c r="A96" s="56" t="s">
        <v>317</v>
      </c>
      <c r="B96" s="206" t="s">
        <v>279</v>
      </c>
      <c r="C96" s="583"/>
      <c r="D96" s="176" t="s">
        <v>967</v>
      </c>
      <c r="E96" s="204" t="s">
        <v>1143</v>
      </c>
      <c r="F96" s="187" t="s">
        <v>91</v>
      </c>
      <c r="G96" s="187" t="s">
        <v>93</v>
      </c>
      <c r="H96" s="188">
        <f>(460000)/1000*$H$5</f>
        <v>460</v>
      </c>
      <c r="I96" s="188">
        <f t="shared" si="1"/>
        <v>460</v>
      </c>
      <c r="J96" s="204" t="s">
        <v>182</v>
      </c>
      <c r="K96" s="59"/>
    </row>
    <row r="97" spans="1:11" ht="66" customHeight="1" x14ac:dyDescent="0.2">
      <c r="A97" s="56" t="s">
        <v>318</v>
      </c>
      <c r="B97" s="206" t="s">
        <v>280</v>
      </c>
      <c r="C97" s="191"/>
      <c r="D97" s="176" t="s">
        <v>968</v>
      </c>
      <c r="E97" s="204" t="s">
        <v>1144</v>
      </c>
      <c r="F97" s="187" t="s">
        <v>137</v>
      </c>
      <c r="G97" s="187" t="s">
        <v>139</v>
      </c>
      <c r="H97" s="188">
        <f>(777278)/1000*$H$5</f>
        <v>777.27800000000002</v>
      </c>
      <c r="I97" s="188">
        <f>H97-(98229)/1000*$H$5</f>
        <v>679.04899999999998</v>
      </c>
      <c r="J97" s="204" t="s">
        <v>183</v>
      </c>
      <c r="K97" s="59"/>
    </row>
    <row r="98" spans="1:11" ht="72" x14ac:dyDescent="0.2">
      <c r="A98" s="56" t="s">
        <v>319</v>
      </c>
      <c r="B98" s="206" t="s">
        <v>1147</v>
      </c>
      <c r="C98" s="191"/>
      <c r="D98" s="176" t="s">
        <v>969</v>
      </c>
      <c r="E98" s="204" t="s">
        <v>1145</v>
      </c>
      <c r="F98" s="187" t="s">
        <v>137</v>
      </c>
      <c r="G98" s="187" t="s">
        <v>139</v>
      </c>
      <c r="H98" s="188">
        <f>(956000)/1000*$H$5</f>
        <v>956</v>
      </c>
      <c r="I98" s="188">
        <f>H98-(341273)/1000*$H$5</f>
        <v>614.72699999999998</v>
      </c>
      <c r="J98" s="204" t="s">
        <v>183</v>
      </c>
      <c r="K98" s="59"/>
    </row>
    <row r="99" spans="1:11" ht="72" x14ac:dyDescent="0.2">
      <c r="A99" s="56" t="s">
        <v>320</v>
      </c>
      <c r="B99" s="206" t="s">
        <v>1148</v>
      </c>
      <c r="C99" s="191"/>
      <c r="D99" s="176" t="s">
        <v>970</v>
      </c>
      <c r="E99" s="204" t="s">
        <v>1146</v>
      </c>
      <c r="F99" s="187" t="s">
        <v>137</v>
      </c>
      <c r="G99" s="187" t="s">
        <v>139</v>
      </c>
      <c r="H99" s="188">
        <f>(790000)/1000*$H$5</f>
        <v>790</v>
      </c>
      <c r="I99" s="188">
        <f>H99-(222000)/1000*$H$5</f>
        <v>568</v>
      </c>
      <c r="J99" s="204" t="s">
        <v>183</v>
      </c>
      <c r="K99" s="59"/>
    </row>
    <row r="100" spans="1:11" ht="39" customHeight="1" x14ac:dyDescent="0.2">
      <c r="A100" s="56" t="s">
        <v>321</v>
      </c>
      <c r="B100" s="206" t="s">
        <v>1149</v>
      </c>
      <c r="C100" s="191"/>
      <c r="D100" s="176" t="s">
        <v>971</v>
      </c>
      <c r="E100" s="206" t="s">
        <v>1149</v>
      </c>
      <c r="F100" s="187" t="s">
        <v>16</v>
      </c>
      <c r="G100" s="187" t="s">
        <v>11</v>
      </c>
      <c r="H100" s="188">
        <f>(333000)/1000*$H$5</f>
        <v>333</v>
      </c>
      <c r="I100" s="188">
        <f t="shared" si="1"/>
        <v>333</v>
      </c>
      <c r="J100" s="204" t="s">
        <v>182</v>
      </c>
      <c r="K100" s="59"/>
    </row>
    <row r="101" spans="1:11" ht="31.5" customHeight="1" x14ac:dyDescent="0.2">
      <c r="A101" s="75" t="s">
        <v>322</v>
      </c>
      <c r="B101" s="235" t="s">
        <v>284</v>
      </c>
      <c r="C101" s="238"/>
      <c r="D101" s="176" t="s">
        <v>1153</v>
      </c>
      <c r="E101" s="235" t="s">
        <v>284</v>
      </c>
      <c r="F101" s="202" t="s">
        <v>107</v>
      </c>
      <c r="G101" s="202" t="s">
        <v>11</v>
      </c>
      <c r="H101" s="193">
        <f>(1356000)/1000*$H$5</f>
        <v>1356</v>
      </c>
      <c r="I101" s="193">
        <f t="shared" si="1"/>
        <v>1356</v>
      </c>
      <c r="J101" s="205" t="s">
        <v>182</v>
      </c>
      <c r="K101" s="228"/>
    </row>
    <row r="102" spans="1:11" ht="30.75" customHeight="1" x14ac:dyDescent="0.2">
      <c r="A102" s="233" t="s">
        <v>212</v>
      </c>
      <c r="B102" s="239" t="s">
        <v>285</v>
      </c>
      <c r="C102" s="582" t="s">
        <v>1150</v>
      </c>
      <c r="D102" s="182"/>
      <c r="E102" s="198"/>
      <c r="F102" s="201"/>
      <c r="G102" s="201"/>
      <c r="H102" s="196">
        <f>(0)/1000*$H$5</f>
        <v>0</v>
      </c>
      <c r="I102" s="196">
        <f t="shared" si="1"/>
        <v>0</v>
      </c>
      <c r="J102" s="203"/>
      <c r="K102" s="231"/>
    </row>
    <row r="103" spans="1:11" ht="60" x14ac:dyDescent="0.2">
      <c r="A103" s="56" t="s">
        <v>323</v>
      </c>
      <c r="B103" s="206" t="s">
        <v>1151</v>
      </c>
      <c r="C103" s="583"/>
      <c r="D103" s="176" t="s">
        <v>973</v>
      </c>
      <c r="E103" s="204" t="s">
        <v>1152</v>
      </c>
      <c r="F103" s="187" t="s">
        <v>60</v>
      </c>
      <c r="G103" s="187" t="s">
        <v>9</v>
      </c>
      <c r="H103" s="188">
        <f>(2597207)/1000*$H$5</f>
        <v>2597.2069999999999</v>
      </c>
      <c r="I103" s="188">
        <f t="shared" si="1"/>
        <v>2597.2069999999999</v>
      </c>
      <c r="J103" s="204" t="s">
        <v>210</v>
      </c>
      <c r="K103" s="59"/>
    </row>
    <row r="104" spans="1:11" ht="36" x14ac:dyDescent="0.2">
      <c r="A104" s="56" t="s">
        <v>324</v>
      </c>
      <c r="B104" s="206" t="s">
        <v>287</v>
      </c>
      <c r="C104" s="583"/>
      <c r="D104" s="176" t="s">
        <v>974</v>
      </c>
      <c r="E104" s="206" t="s">
        <v>287</v>
      </c>
      <c r="F104" s="187" t="s">
        <v>211</v>
      </c>
      <c r="G104" s="187" t="s">
        <v>11</v>
      </c>
      <c r="H104" s="188">
        <f>(4745324)/1000*$H$5</f>
        <v>4745.3239999999996</v>
      </c>
      <c r="I104" s="188">
        <f t="shared" si="1"/>
        <v>4745.3239999999996</v>
      </c>
      <c r="J104" s="204" t="s">
        <v>182</v>
      </c>
      <c r="K104" s="59"/>
    </row>
    <row r="105" spans="1:11" ht="33.75" x14ac:dyDescent="0.2">
      <c r="A105" s="56" t="s">
        <v>325</v>
      </c>
      <c r="B105" s="206" t="s">
        <v>288</v>
      </c>
      <c r="C105" s="583"/>
      <c r="D105" s="176" t="s">
        <v>975</v>
      </c>
      <c r="E105" s="206" t="s">
        <v>288</v>
      </c>
      <c r="F105" s="187" t="s">
        <v>211</v>
      </c>
      <c r="G105" s="187" t="s">
        <v>11</v>
      </c>
      <c r="H105" s="188">
        <f>(2553018)/1000*$H$5</f>
        <v>2553.018</v>
      </c>
      <c r="I105" s="188">
        <f t="shared" si="1"/>
        <v>2553.018</v>
      </c>
      <c r="J105" s="204" t="s">
        <v>182</v>
      </c>
      <c r="K105" s="59"/>
    </row>
    <row r="106" spans="1:11" ht="48" x14ac:dyDescent="0.2">
      <c r="A106" s="56" t="s">
        <v>326</v>
      </c>
      <c r="B106" s="206" t="s">
        <v>339</v>
      </c>
      <c r="C106" s="583"/>
      <c r="D106" s="176" t="s">
        <v>976</v>
      </c>
      <c r="E106" s="206" t="s">
        <v>339</v>
      </c>
      <c r="F106" s="187" t="s">
        <v>211</v>
      </c>
      <c r="G106" s="187" t="s">
        <v>11</v>
      </c>
      <c r="H106" s="188">
        <f>(500000)/1000*$H$5</f>
        <v>500</v>
      </c>
      <c r="I106" s="188">
        <f t="shared" ref="I106:I112" si="3">H106-(0)/1000*$H$5</f>
        <v>500</v>
      </c>
      <c r="J106" s="204" t="s">
        <v>182</v>
      </c>
      <c r="K106" s="59"/>
    </row>
    <row r="107" spans="1:11" ht="46.5" customHeight="1" x14ac:dyDescent="0.2">
      <c r="A107" s="56" t="s">
        <v>327</v>
      </c>
      <c r="B107" s="206" t="s">
        <v>289</v>
      </c>
      <c r="C107" s="191"/>
      <c r="D107" s="176" t="s">
        <v>977</v>
      </c>
      <c r="E107" s="206" t="s">
        <v>289</v>
      </c>
      <c r="F107" s="187" t="s">
        <v>16</v>
      </c>
      <c r="G107" s="187" t="s">
        <v>107</v>
      </c>
      <c r="H107" s="188">
        <f>(299973)/1000*$H$5</f>
        <v>299.97300000000001</v>
      </c>
      <c r="I107" s="188">
        <f t="shared" si="3"/>
        <v>299.97300000000001</v>
      </c>
      <c r="J107" s="204" t="s">
        <v>182</v>
      </c>
      <c r="K107" s="59"/>
    </row>
    <row r="108" spans="1:11" ht="39.75" customHeight="1" x14ac:dyDescent="0.2">
      <c r="A108" s="233" t="s">
        <v>328</v>
      </c>
      <c r="B108" s="239" t="s">
        <v>291</v>
      </c>
      <c r="C108" s="582" t="s">
        <v>1158</v>
      </c>
      <c r="D108" s="182"/>
      <c r="E108" s="198"/>
      <c r="F108" s="201"/>
      <c r="G108" s="201"/>
      <c r="H108" s="196">
        <f>(0)/1000*$H$5</f>
        <v>0</v>
      </c>
      <c r="I108" s="196">
        <f t="shared" si="3"/>
        <v>0</v>
      </c>
      <c r="J108" s="203"/>
      <c r="K108" s="231"/>
    </row>
    <row r="109" spans="1:11" ht="60.75" customHeight="1" x14ac:dyDescent="0.2">
      <c r="A109" s="56" t="s">
        <v>329</v>
      </c>
      <c r="B109" s="206" t="s">
        <v>1154</v>
      </c>
      <c r="C109" s="584"/>
      <c r="D109" s="181" t="s">
        <v>978</v>
      </c>
      <c r="E109" s="205" t="s">
        <v>1155</v>
      </c>
      <c r="F109" s="202" t="s">
        <v>104</v>
      </c>
      <c r="G109" s="240" t="s">
        <v>62</v>
      </c>
      <c r="H109" s="193">
        <f>(485000)/1000*$H$5</f>
        <v>485</v>
      </c>
      <c r="I109" s="193">
        <f t="shared" si="3"/>
        <v>485</v>
      </c>
      <c r="J109" s="204" t="s">
        <v>669</v>
      </c>
      <c r="K109" s="59"/>
    </row>
    <row r="110" spans="1:11" ht="48" customHeight="1" x14ac:dyDescent="0.2">
      <c r="A110" s="241" t="s">
        <v>330</v>
      </c>
      <c r="B110" s="239" t="s">
        <v>342</v>
      </c>
      <c r="C110" s="582" t="s">
        <v>1157</v>
      </c>
      <c r="D110" s="176"/>
      <c r="E110" s="200"/>
      <c r="F110" s="187"/>
      <c r="G110" s="187"/>
      <c r="H110" s="188">
        <f>(0)/1000*$H$5</f>
        <v>0</v>
      </c>
      <c r="I110" s="188">
        <f t="shared" si="3"/>
        <v>0</v>
      </c>
      <c r="J110" s="203"/>
      <c r="K110" s="231"/>
    </row>
    <row r="111" spans="1:11" ht="96" x14ac:dyDescent="0.2">
      <c r="A111" s="56" t="s">
        <v>331</v>
      </c>
      <c r="B111" s="206" t="s">
        <v>292</v>
      </c>
      <c r="C111" s="583"/>
      <c r="D111" s="176" t="s">
        <v>979</v>
      </c>
      <c r="E111" s="206" t="s">
        <v>1156</v>
      </c>
      <c r="F111" s="187" t="s">
        <v>181</v>
      </c>
      <c r="G111" s="187" t="s">
        <v>54</v>
      </c>
      <c r="H111" s="188">
        <f>(689928.84)/1000*$H$5</f>
        <v>689.92883999999992</v>
      </c>
      <c r="I111" s="188">
        <f t="shared" si="3"/>
        <v>689.92883999999992</v>
      </c>
      <c r="J111" s="204" t="s">
        <v>219</v>
      </c>
      <c r="K111" s="59"/>
    </row>
    <row r="112" spans="1:11" ht="67.5" customHeight="1" x14ac:dyDescent="0.2">
      <c r="A112" s="56" t="s">
        <v>332</v>
      </c>
      <c r="B112" s="235" t="s">
        <v>293</v>
      </c>
      <c r="C112" s="583"/>
      <c r="D112" s="181" t="s">
        <v>980</v>
      </c>
      <c r="E112" s="206" t="s">
        <v>1273</v>
      </c>
      <c r="F112" s="202" t="s">
        <v>181</v>
      </c>
      <c r="G112" s="202" t="s">
        <v>54</v>
      </c>
      <c r="H112" s="193">
        <f>(669986.7)/1000*$H$5</f>
        <v>669.98669999999993</v>
      </c>
      <c r="I112" s="193">
        <f t="shared" si="3"/>
        <v>669.98669999999993</v>
      </c>
      <c r="J112" s="205" t="s">
        <v>670</v>
      </c>
      <c r="K112" s="228"/>
    </row>
    <row r="113" spans="1:12" ht="42" customHeight="1" x14ac:dyDescent="0.2">
      <c r="A113" s="241" t="s">
        <v>356</v>
      </c>
      <c r="B113" s="242" t="s">
        <v>355</v>
      </c>
      <c r="C113" s="243"/>
      <c r="D113" s="244"/>
      <c r="E113" s="245"/>
      <c r="F113" s="208"/>
      <c r="G113" s="206"/>
      <c r="H113" s="206"/>
      <c r="I113" s="206"/>
      <c r="J113" s="203"/>
      <c r="K113" s="231"/>
    </row>
    <row r="114" spans="1:12" ht="108" x14ac:dyDescent="0.2">
      <c r="A114" s="56" t="s">
        <v>357</v>
      </c>
      <c r="B114" s="222" t="s">
        <v>1162</v>
      </c>
      <c r="C114" s="246" t="s">
        <v>1159</v>
      </c>
      <c r="D114" s="244" t="s">
        <v>981</v>
      </c>
      <c r="E114" s="204" t="s">
        <v>1161</v>
      </c>
      <c r="F114" s="247" t="s">
        <v>132</v>
      </c>
      <c r="G114" s="187" t="s">
        <v>60</v>
      </c>
      <c r="H114" s="188">
        <f>(13558188)/1000*$H$5</f>
        <v>13558.188</v>
      </c>
      <c r="I114" s="188">
        <f>H114-(469389+1258717+530611+1765439)/1000*$H$5</f>
        <v>9534.0319999999992</v>
      </c>
      <c r="J114" s="204" t="s">
        <v>368</v>
      </c>
      <c r="K114" s="59"/>
      <c r="L114" s="248" t="s">
        <v>369</v>
      </c>
    </row>
    <row r="115" spans="1:12" ht="108" x14ac:dyDescent="0.2">
      <c r="A115" s="56" t="s">
        <v>360</v>
      </c>
      <c r="B115" s="222" t="s">
        <v>359</v>
      </c>
      <c r="C115" s="246" t="s">
        <v>1160</v>
      </c>
      <c r="D115" s="244" t="s">
        <v>1164</v>
      </c>
      <c r="E115" s="204" t="s">
        <v>1163</v>
      </c>
      <c r="F115" s="247" t="s">
        <v>91</v>
      </c>
      <c r="G115" s="187" t="s">
        <v>95</v>
      </c>
      <c r="H115" s="188">
        <f>(2385000)/1000*$H$5</f>
        <v>2385</v>
      </c>
      <c r="I115" s="188">
        <f t="shared" ref="I115:I121" si="4">H115-(0)/1000*$H$5</f>
        <v>2385</v>
      </c>
      <c r="J115" s="187" t="s">
        <v>371</v>
      </c>
      <c r="K115" s="187"/>
      <c r="L115" s="60" t="s">
        <v>370</v>
      </c>
    </row>
    <row r="116" spans="1:12" ht="77.25" customHeight="1" x14ac:dyDescent="0.2">
      <c r="A116" s="56" t="s">
        <v>366</v>
      </c>
      <c r="B116" s="206" t="s">
        <v>1165</v>
      </c>
      <c r="C116" s="608" t="s">
        <v>1179</v>
      </c>
      <c r="D116" s="249" t="s">
        <v>1166</v>
      </c>
      <c r="E116" s="206" t="s">
        <v>1274</v>
      </c>
      <c r="F116" s="187" t="s">
        <v>4</v>
      </c>
      <c r="G116" s="187" t="s">
        <v>5</v>
      </c>
      <c r="H116" s="188">
        <f>(700000)/1000*$H$5</f>
        <v>700</v>
      </c>
      <c r="I116" s="188">
        <f t="shared" si="4"/>
        <v>700</v>
      </c>
      <c r="J116" s="612" t="s">
        <v>536</v>
      </c>
      <c r="K116" s="228"/>
      <c r="L116" s="248" t="s">
        <v>1176</v>
      </c>
    </row>
    <row r="117" spans="1:12" ht="48" x14ac:dyDescent="0.2">
      <c r="A117" s="56" t="s">
        <v>1167</v>
      </c>
      <c r="B117" s="206" t="s">
        <v>1165</v>
      </c>
      <c r="C117" s="608"/>
      <c r="D117" s="249" t="s">
        <v>1171</v>
      </c>
      <c r="E117" s="206" t="s">
        <v>1275</v>
      </c>
      <c r="F117" s="187" t="s">
        <v>4</v>
      </c>
      <c r="G117" s="187" t="s">
        <v>5</v>
      </c>
      <c r="H117" s="188">
        <f>(10567316)/1000*$H$5</f>
        <v>10567.316000000001</v>
      </c>
      <c r="I117" s="188">
        <f t="shared" si="4"/>
        <v>10567.316000000001</v>
      </c>
      <c r="J117" s="612"/>
      <c r="K117" s="228"/>
      <c r="L117" s="248"/>
    </row>
    <row r="118" spans="1:12" ht="51" customHeight="1" x14ac:dyDescent="0.2">
      <c r="A118" s="56" t="s">
        <v>1168</v>
      </c>
      <c r="B118" s="206" t="s">
        <v>1165</v>
      </c>
      <c r="C118" s="608"/>
      <c r="D118" s="249" t="s">
        <v>1172</v>
      </c>
      <c r="E118" s="206" t="s">
        <v>1173</v>
      </c>
      <c r="F118" s="187" t="s">
        <v>4</v>
      </c>
      <c r="G118" s="187" t="s">
        <v>84</v>
      </c>
      <c r="H118" s="188">
        <f>(8421143)/1000*$H$5</f>
        <v>8421.143</v>
      </c>
      <c r="I118" s="188">
        <f t="shared" si="4"/>
        <v>8421.143</v>
      </c>
      <c r="J118" s="612"/>
      <c r="K118" s="228"/>
      <c r="L118" s="248"/>
    </row>
    <row r="119" spans="1:12" ht="132" x14ac:dyDescent="0.2">
      <c r="A119" s="56" t="s">
        <v>1169</v>
      </c>
      <c r="B119" s="206" t="s">
        <v>1165</v>
      </c>
      <c r="C119" s="608"/>
      <c r="D119" s="249" t="s">
        <v>1174</v>
      </c>
      <c r="E119" s="206" t="s">
        <v>1175</v>
      </c>
      <c r="F119" s="187" t="s">
        <v>4</v>
      </c>
      <c r="G119" s="187" t="s">
        <v>84</v>
      </c>
      <c r="H119" s="188">
        <f>(7072314)/1000*$H$5</f>
        <v>7072.3140000000003</v>
      </c>
      <c r="I119" s="188">
        <f t="shared" si="4"/>
        <v>7072.3140000000003</v>
      </c>
      <c r="J119" s="612"/>
      <c r="K119" s="228"/>
      <c r="L119" s="248"/>
    </row>
    <row r="120" spans="1:12" ht="60" x14ac:dyDescent="0.2">
      <c r="A120" s="56" t="s">
        <v>1170</v>
      </c>
      <c r="B120" s="206" t="s">
        <v>1165</v>
      </c>
      <c r="C120" s="608"/>
      <c r="D120" s="249" t="s">
        <v>1177</v>
      </c>
      <c r="E120" s="206" t="s">
        <v>1178</v>
      </c>
      <c r="F120" s="187" t="s">
        <v>35</v>
      </c>
      <c r="G120" s="187" t="s">
        <v>5</v>
      </c>
      <c r="H120" s="188">
        <f>(6014061)/1000*$H$5</f>
        <v>6014.0609999999997</v>
      </c>
      <c r="I120" s="188">
        <f t="shared" si="4"/>
        <v>6014.0609999999997</v>
      </c>
      <c r="J120" s="612"/>
      <c r="K120" s="228"/>
      <c r="L120" s="248"/>
    </row>
    <row r="121" spans="1:12" ht="227.25" customHeight="1" x14ac:dyDescent="0.2">
      <c r="A121" s="250" t="s">
        <v>343</v>
      </c>
      <c r="B121" s="207" t="s">
        <v>1182</v>
      </c>
      <c r="C121" s="198" t="s">
        <v>1112</v>
      </c>
      <c r="D121" s="182" t="s">
        <v>953</v>
      </c>
      <c r="E121" s="203" t="s">
        <v>1183</v>
      </c>
      <c r="F121" s="201" t="s">
        <v>101</v>
      </c>
      <c r="G121" s="201" t="s">
        <v>101</v>
      </c>
      <c r="H121" s="196">
        <f>(623681)/1000*$H$5</f>
        <v>623.68100000000004</v>
      </c>
      <c r="I121" s="196">
        <f t="shared" si="4"/>
        <v>623.68100000000004</v>
      </c>
      <c r="J121" s="204" t="s">
        <v>231</v>
      </c>
      <c r="K121" s="228"/>
      <c r="L121" s="248"/>
    </row>
    <row r="122" spans="1:12" ht="96" customHeight="1" x14ac:dyDescent="0.2">
      <c r="A122" s="251" t="s">
        <v>1184</v>
      </c>
      <c r="B122" s="206" t="s">
        <v>672</v>
      </c>
      <c r="C122" s="582" t="s">
        <v>1185</v>
      </c>
      <c r="D122" s="176" t="s">
        <v>984</v>
      </c>
      <c r="E122" s="204" t="s">
        <v>1186</v>
      </c>
      <c r="F122" s="187" t="s">
        <v>126</v>
      </c>
      <c r="G122" s="187" t="s">
        <v>295</v>
      </c>
      <c r="H122" s="188">
        <f>(83139502.68)/1000*$H$5</f>
        <v>83139.502680000005</v>
      </c>
      <c r="I122" s="188">
        <f>H122-(6200000+10529012+8438715+108814)/1000*$H$5</f>
        <v>57862.961680000008</v>
      </c>
      <c r="J122" s="205" t="s">
        <v>341</v>
      </c>
      <c r="K122" s="228"/>
    </row>
    <row r="123" spans="1:12" ht="34.5" customHeight="1" x14ac:dyDescent="0.2">
      <c r="A123" s="56" t="s">
        <v>362</v>
      </c>
      <c r="B123" s="607" t="s">
        <v>344</v>
      </c>
      <c r="C123" s="583"/>
      <c r="D123" s="252" t="s">
        <v>1197</v>
      </c>
      <c r="E123" s="253" t="s">
        <v>1017</v>
      </c>
      <c r="F123" s="201"/>
      <c r="G123" s="254"/>
      <c r="H123" s="196"/>
      <c r="I123" s="196"/>
      <c r="J123" s="614" t="s">
        <v>348</v>
      </c>
      <c r="K123" s="78"/>
      <c r="L123" s="248" t="s">
        <v>345</v>
      </c>
    </row>
    <row r="124" spans="1:12" ht="48" x14ac:dyDescent="0.2">
      <c r="A124" s="56" t="s">
        <v>1189</v>
      </c>
      <c r="B124" s="608"/>
      <c r="C124" s="583"/>
      <c r="D124" s="255" t="s">
        <v>1187</v>
      </c>
      <c r="E124" s="256" t="s">
        <v>1188</v>
      </c>
      <c r="F124" s="187" t="s">
        <v>176</v>
      </c>
      <c r="G124" s="257" t="s">
        <v>48</v>
      </c>
      <c r="H124" s="188">
        <f>(18470000)/1000*$H$5</f>
        <v>18470</v>
      </c>
      <c r="I124" s="188">
        <f>H124-(6226282)/1000*$H$5</f>
        <v>12243.718000000001</v>
      </c>
      <c r="J124" s="615"/>
      <c r="K124" s="78"/>
      <c r="L124" s="248"/>
    </row>
    <row r="125" spans="1:12" ht="48" x14ac:dyDescent="0.2">
      <c r="A125" s="56" t="s">
        <v>1190</v>
      </c>
      <c r="B125" s="608"/>
      <c r="C125" s="583"/>
      <c r="D125" s="255" t="s">
        <v>1193</v>
      </c>
      <c r="E125" s="256" t="s">
        <v>1194</v>
      </c>
      <c r="F125" s="187" t="s">
        <v>410</v>
      </c>
      <c r="G125" s="257" t="s">
        <v>48</v>
      </c>
      <c r="H125" s="188">
        <f>(6000000)/1000*$H$5</f>
        <v>6000</v>
      </c>
      <c r="I125" s="188">
        <f>H125-(584574)/1000*$H$5</f>
        <v>5415.4260000000004</v>
      </c>
      <c r="J125" s="615"/>
      <c r="K125" s="78"/>
      <c r="L125" s="248"/>
    </row>
    <row r="126" spans="1:12" ht="36" x14ac:dyDescent="0.2">
      <c r="A126" s="56" t="s">
        <v>1191</v>
      </c>
      <c r="B126" s="608"/>
      <c r="C126" s="583"/>
      <c r="D126" s="255" t="s">
        <v>1195</v>
      </c>
      <c r="E126" s="256" t="s">
        <v>1196</v>
      </c>
      <c r="F126" s="187" t="s">
        <v>78</v>
      </c>
      <c r="G126" s="257" t="s">
        <v>11</v>
      </c>
      <c r="H126" s="188">
        <f>(43638688)/1000*$H$5</f>
        <v>43638.688000000002</v>
      </c>
      <c r="I126" s="188">
        <f>H126-(1856603+12527+625000)/1000*$H$5</f>
        <v>41144.558000000005</v>
      </c>
      <c r="J126" s="615"/>
      <c r="K126" s="78"/>
      <c r="L126" s="248"/>
    </row>
    <row r="127" spans="1:12" ht="57.75" customHeight="1" x14ac:dyDescent="0.2">
      <c r="A127" s="56" t="s">
        <v>1192</v>
      </c>
      <c r="B127" s="608"/>
      <c r="C127" s="583"/>
      <c r="D127" s="255" t="s">
        <v>1198</v>
      </c>
      <c r="E127" s="256" t="s">
        <v>1188</v>
      </c>
      <c r="F127" s="187" t="s">
        <v>35</v>
      </c>
      <c r="G127" s="257" t="s">
        <v>11</v>
      </c>
      <c r="H127" s="188">
        <f>(35800000)/1000*$H$5</f>
        <v>35800</v>
      </c>
      <c r="I127" s="188">
        <f>H127-(1161147+807520+1980019)/1000*$H$5</f>
        <v>31851.313999999998</v>
      </c>
      <c r="J127" s="616"/>
      <c r="K127" s="78"/>
      <c r="L127" s="248"/>
    </row>
    <row r="128" spans="1:12" ht="37.5" customHeight="1" x14ac:dyDescent="0.2">
      <c r="A128" s="250" t="s">
        <v>363</v>
      </c>
      <c r="B128" s="258" t="s">
        <v>347</v>
      </c>
      <c r="C128" s="583"/>
      <c r="D128" s="182" t="s">
        <v>1197</v>
      </c>
      <c r="E128" s="259"/>
      <c r="F128" s="260"/>
      <c r="G128" s="201"/>
      <c r="H128" s="196"/>
      <c r="I128" s="196"/>
      <c r="J128" s="607" t="s">
        <v>349</v>
      </c>
      <c r="K128" s="78"/>
      <c r="L128" s="248" t="s">
        <v>350</v>
      </c>
    </row>
    <row r="129" spans="1:12" ht="56.25" customHeight="1" x14ac:dyDescent="0.2">
      <c r="A129" s="261" t="s">
        <v>1199</v>
      </c>
      <c r="B129" s="204"/>
      <c r="C129" s="583"/>
      <c r="D129" s="255" t="s">
        <v>1204</v>
      </c>
      <c r="E129" s="204" t="s">
        <v>1205</v>
      </c>
      <c r="F129" s="187" t="s">
        <v>176</v>
      </c>
      <c r="G129" s="247" t="s">
        <v>54</v>
      </c>
      <c r="H129" s="262">
        <f>(17300000)/1000*$H$5</f>
        <v>17300</v>
      </c>
      <c r="I129" s="188">
        <f>H129-(2581571+57053)/1000*$H$5</f>
        <v>14661.376</v>
      </c>
      <c r="J129" s="609"/>
      <c r="K129" s="78"/>
      <c r="L129" s="248"/>
    </row>
    <row r="130" spans="1:12" ht="51.75" customHeight="1" x14ac:dyDescent="0.2">
      <c r="A130" s="261" t="s">
        <v>1200</v>
      </c>
      <c r="B130" s="204"/>
      <c r="C130" s="583"/>
      <c r="D130" s="255" t="s">
        <v>1203</v>
      </c>
      <c r="E130" s="204" t="s">
        <v>1205</v>
      </c>
      <c r="F130" s="187" t="s">
        <v>181</v>
      </c>
      <c r="G130" s="247" t="s">
        <v>7</v>
      </c>
      <c r="H130" s="262">
        <f>(16900000)/1000*$H$5</f>
        <v>16900</v>
      </c>
      <c r="I130" s="188">
        <f>H130-(0)/1000*$H$5</f>
        <v>16900</v>
      </c>
      <c r="J130" s="609"/>
      <c r="K130" s="78"/>
      <c r="L130" s="248"/>
    </row>
    <row r="131" spans="1:12" ht="30" customHeight="1" x14ac:dyDescent="0.2">
      <c r="A131" s="261" t="s">
        <v>1201</v>
      </c>
      <c r="B131" s="204"/>
      <c r="C131" s="583"/>
      <c r="D131" s="255" t="s">
        <v>1206</v>
      </c>
      <c r="E131" s="204" t="s">
        <v>1207</v>
      </c>
      <c r="F131" s="187" t="s">
        <v>181</v>
      </c>
      <c r="G131" s="247" t="s">
        <v>54</v>
      </c>
      <c r="H131" s="262">
        <f>(2100000)/1000*$H$5</f>
        <v>2100</v>
      </c>
      <c r="I131" s="188">
        <f>H131-(300000)/1000*$H$5</f>
        <v>1800</v>
      </c>
      <c r="J131" s="609"/>
      <c r="K131" s="78"/>
      <c r="L131" s="248"/>
    </row>
    <row r="132" spans="1:12" ht="48" x14ac:dyDescent="0.2">
      <c r="A132" s="263" t="s">
        <v>1202</v>
      </c>
      <c r="B132" s="205"/>
      <c r="C132" s="583"/>
      <c r="D132" s="264" t="s">
        <v>1208</v>
      </c>
      <c r="E132" s="205" t="s">
        <v>1205</v>
      </c>
      <c r="F132" s="202" t="s">
        <v>4</v>
      </c>
      <c r="G132" s="240" t="s">
        <v>9</v>
      </c>
      <c r="H132" s="265">
        <f>(19600000)/1000*$H$5</f>
        <v>19600</v>
      </c>
      <c r="I132" s="193">
        <f>H132-(0)/1000*$H$5</f>
        <v>19600</v>
      </c>
      <c r="J132" s="610"/>
      <c r="K132" s="78"/>
      <c r="L132" s="248"/>
    </row>
    <row r="133" spans="1:12" ht="60" x14ac:dyDescent="0.2">
      <c r="A133" s="75" t="s">
        <v>392</v>
      </c>
      <c r="B133" s="206" t="s">
        <v>1276</v>
      </c>
      <c r="C133" s="583"/>
      <c r="D133" s="176" t="s">
        <v>1210</v>
      </c>
      <c r="E133" s="205" t="s">
        <v>1209</v>
      </c>
      <c r="F133" s="202" t="s">
        <v>51</v>
      </c>
      <c r="G133" s="202" t="s">
        <v>52</v>
      </c>
      <c r="H133" s="193">
        <f>(6478556)/1000*$H$5</f>
        <v>6478.5559999999996</v>
      </c>
      <c r="I133" s="193">
        <f>H133-(5170957)/1000*$H$5</f>
        <v>1307.5989999999993</v>
      </c>
      <c r="J133" s="66" t="s">
        <v>352</v>
      </c>
      <c r="K133" s="78"/>
      <c r="L133" s="60" t="s">
        <v>353</v>
      </c>
    </row>
    <row r="134" spans="1:12" ht="28.5" customHeight="1" x14ac:dyDescent="0.2">
      <c r="A134" s="250" t="s">
        <v>393</v>
      </c>
      <c r="B134" s="611" t="s">
        <v>986</v>
      </c>
      <c r="C134" s="583"/>
      <c r="D134" s="252"/>
      <c r="E134" s="253"/>
      <c r="F134" s="201"/>
      <c r="G134" s="254"/>
      <c r="H134" s="196"/>
      <c r="I134" s="196"/>
      <c r="J134" s="611" t="s">
        <v>372</v>
      </c>
      <c r="K134" s="78"/>
    </row>
    <row r="135" spans="1:12" ht="36" x14ac:dyDescent="0.2">
      <c r="A135" s="261" t="s">
        <v>1212</v>
      </c>
      <c r="B135" s="612"/>
      <c r="C135" s="583"/>
      <c r="D135" s="255" t="s">
        <v>1222</v>
      </c>
      <c r="E135" s="256" t="s">
        <v>1211</v>
      </c>
      <c r="F135" s="187" t="s">
        <v>78</v>
      </c>
      <c r="G135" s="257" t="s">
        <v>95</v>
      </c>
      <c r="H135" s="188">
        <f>(24038994)/1000*$H$5</f>
        <v>24038.993999999999</v>
      </c>
      <c r="I135" s="188">
        <f>H135-(2293986+1543444+4453835)/1000*$H$5</f>
        <v>15747.728999999999</v>
      </c>
      <c r="J135" s="612"/>
      <c r="K135" s="78"/>
      <c r="L135" s="248" t="s">
        <v>354</v>
      </c>
    </row>
    <row r="136" spans="1:12" ht="48" x14ac:dyDescent="0.2">
      <c r="A136" s="261" t="s">
        <v>1213</v>
      </c>
      <c r="B136" s="613"/>
      <c r="C136" s="583"/>
      <c r="D136" s="255" t="s">
        <v>1221</v>
      </c>
      <c r="E136" s="256" t="s">
        <v>1214</v>
      </c>
      <c r="F136" s="187" t="s">
        <v>49</v>
      </c>
      <c r="G136" s="257" t="s">
        <v>9</v>
      </c>
      <c r="H136" s="188">
        <f>(777000)/1000*$H$5</f>
        <v>777</v>
      </c>
      <c r="I136" s="188">
        <f>H136-(0)/1000*$H$5</f>
        <v>777</v>
      </c>
      <c r="J136" s="613"/>
      <c r="K136" s="78"/>
      <c r="L136" s="248"/>
    </row>
    <row r="137" spans="1:12" ht="48" x14ac:dyDescent="0.2">
      <c r="A137" s="75" t="s">
        <v>394</v>
      </c>
      <c r="B137" s="207" t="s">
        <v>801</v>
      </c>
      <c r="C137" s="583"/>
      <c r="D137" s="183" t="s">
        <v>1220</v>
      </c>
      <c r="E137" s="131" t="s">
        <v>1215</v>
      </c>
      <c r="F137" s="77" t="s">
        <v>124</v>
      </c>
      <c r="G137" s="77" t="s">
        <v>35</v>
      </c>
      <c r="H137" s="195">
        <f>(5116926)/1000*$H$5</f>
        <v>5116.9260000000004</v>
      </c>
      <c r="I137" s="195">
        <f>H137-(199477+243074)/1000*$H$5</f>
        <v>4674.375</v>
      </c>
      <c r="J137" s="66" t="s">
        <v>373</v>
      </c>
      <c r="K137" s="78"/>
      <c r="L137" s="248" t="s">
        <v>374</v>
      </c>
    </row>
    <row r="138" spans="1:12" ht="60" x14ac:dyDescent="0.2">
      <c r="A138" s="75" t="s">
        <v>395</v>
      </c>
      <c r="B138" s="207" t="s">
        <v>802</v>
      </c>
      <c r="C138" s="583"/>
      <c r="D138" s="183" t="s">
        <v>1219</v>
      </c>
      <c r="E138" s="131" t="s">
        <v>1217</v>
      </c>
      <c r="F138" s="77" t="s">
        <v>132</v>
      </c>
      <c r="G138" s="77" t="s">
        <v>5</v>
      </c>
      <c r="H138" s="195">
        <f>(1730000)/1000*$H$5</f>
        <v>1730</v>
      </c>
      <c r="I138" s="195">
        <f>H138-(422391)/1000*$H$5</f>
        <v>1307.6089999999999</v>
      </c>
      <c r="J138" s="66" t="s">
        <v>375</v>
      </c>
      <c r="K138" s="78"/>
      <c r="L138" s="248" t="s">
        <v>376</v>
      </c>
    </row>
    <row r="139" spans="1:12" ht="48" x14ac:dyDescent="0.2">
      <c r="A139" s="75" t="s">
        <v>396</v>
      </c>
      <c r="B139" s="207" t="s">
        <v>1216</v>
      </c>
      <c r="C139" s="583"/>
      <c r="D139" s="183" t="s">
        <v>1218</v>
      </c>
      <c r="E139" s="131" t="s">
        <v>1277</v>
      </c>
      <c r="F139" s="77" t="s">
        <v>488</v>
      </c>
      <c r="G139" s="77" t="s">
        <v>60</v>
      </c>
      <c r="H139" s="195">
        <f>(1570000)/1000*$H$5</f>
        <v>1570</v>
      </c>
      <c r="I139" s="195">
        <f>H139-(0)/1000*$H$5</f>
        <v>1570</v>
      </c>
      <c r="J139" s="66"/>
      <c r="K139" s="78"/>
      <c r="L139" s="248"/>
    </row>
    <row r="140" spans="1:12" ht="48" x14ac:dyDescent="0.2">
      <c r="A140" s="75" t="s">
        <v>397</v>
      </c>
      <c r="B140" s="207" t="s">
        <v>379</v>
      </c>
      <c r="C140" s="583"/>
      <c r="D140" s="183" t="s">
        <v>1230</v>
      </c>
      <c r="E140" s="131" t="s">
        <v>1223</v>
      </c>
      <c r="F140" s="77" t="s">
        <v>14</v>
      </c>
      <c r="G140" s="77" t="s">
        <v>7</v>
      </c>
      <c r="H140" s="195">
        <f>(990000)/1000*$H$5</f>
        <v>990</v>
      </c>
      <c r="I140" s="195">
        <f>H140-(0)/1000*$H$5</f>
        <v>990</v>
      </c>
      <c r="J140" s="66" t="s">
        <v>378</v>
      </c>
      <c r="K140" s="78"/>
      <c r="L140" s="248" t="s">
        <v>380</v>
      </c>
    </row>
    <row r="141" spans="1:12" ht="84" x14ac:dyDescent="0.2">
      <c r="A141" s="75" t="s">
        <v>398</v>
      </c>
      <c r="B141" s="207" t="s">
        <v>1225</v>
      </c>
      <c r="C141" s="583"/>
      <c r="D141" s="183" t="s">
        <v>1231</v>
      </c>
      <c r="E141" s="131" t="s">
        <v>1224</v>
      </c>
      <c r="F141" s="77" t="s">
        <v>24</v>
      </c>
      <c r="G141" s="77" t="s">
        <v>11</v>
      </c>
      <c r="H141" s="195">
        <f>(1430000)/1000*$H$5</f>
        <v>1430</v>
      </c>
      <c r="I141" s="195">
        <f>H141-(0)/1000*$H$5</f>
        <v>1430</v>
      </c>
      <c r="J141" s="66" t="s">
        <v>382</v>
      </c>
      <c r="K141" s="78"/>
      <c r="L141" s="68" t="s">
        <v>383</v>
      </c>
    </row>
    <row r="142" spans="1:12" ht="60" x14ac:dyDescent="0.2">
      <c r="A142" s="75" t="s">
        <v>403</v>
      </c>
      <c r="B142" s="207" t="s">
        <v>1227</v>
      </c>
      <c r="C142" s="583"/>
      <c r="D142" s="183" t="s">
        <v>1229</v>
      </c>
      <c r="E142" s="131" t="s">
        <v>1226</v>
      </c>
      <c r="F142" s="77" t="s">
        <v>91</v>
      </c>
      <c r="G142" s="77" t="s">
        <v>9</v>
      </c>
      <c r="H142" s="195">
        <f>(1269000)/1000*$H$5</f>
        <v>1269</v>
      </c>
      <c r="I142" s="195">
        <f>H142-(0)/1000*$H$5</f>
        <v>1269</v>
      </c>
      <c r="J142" s="66" t="s">
        <v>384</v>
      </c>
      <c r="K142" s="78"/>
      <c r="L142" s="69" t="s">
        <v>385</v>
      </c>
    </row>
    <row r="143" spans="1:12" ht="108" customHeight="1" x14ac:dyDescent="0.2">
      <c r="A143" s="75" t="s">
        <v>408</v>
      </c>
      <c r="B143" s="207" t="s">
        <v>1232</v>
      </c>
      <c r="C143" s="582" t="s">
        <v>1233</v>
      </c>
      <c r="D143" s="183" t="s">
        <v>1228</v>
      </c>
      <c r="E143" s="131" t="s">
        <v>1234</v>
      </c>
      <c r="F143" s="77" t="s">
        <v>103</v>
      </c>
      <c r="G143" s="77" t="s">
        <v>16</v>
      </c>
      <c r="H143" s="195">
        <f>(1511338)/1000*$H$5</f>
        <v>1511.338</v>
      </c>
      <c r="I143" s="195">
        <f>H143-(0)/1000*$H$5</f>
        <v>1511.338</v>
      </c>
      <c r="J143" s="203"/>
      <c r="K143" s="231"/>
      <c r="L143" s="69"/>
    </row>
    <row r="144" spans="1:12" ht="60" x14ac:dyDescent="0.2">
      <c r="A144" s="75" t="s">
        <v>416</v>
      </c>
      <c r="B144" s="207" t="s">
        <v>673</v>
      </c>
      <c r="C144" s="584"/>
      <c r="D144" s="183" t="s">
        <v>387</v>
      </c>
      <c r="E144" s="131" t="s">
        <v>1235</v>
      </c>
      <c r="F144" s="77" t="s">
        <v>16</v>
      </c>
      <c r="G144" s="77" t="s">
        <v>15</v>
      </c>
      <c r="H144" s="195">
        <f>(5970000)/1000*$H$5</f>
        <v>5970</v>
      </c>
      <c r="I144" s="195">
        <f>H144-(404688+1840498)/1000*$H$5</f>
        <v>3724.8139999999999</v>
      </c>
      <c r="J144" s="203" t="s">
        <v>386</v>
      </c>
      <c r="K144" s="231"/>
      <c r="L144" s="68" t="s">
        <v>387</v>
      </c>
    </row>
    <row r="145" spans="1:12" ht="39" customHeight="1" x14ac:dyDescent="0.2">
      <c r="A145" s="250" t="s">
        <v>417</v>
      </c>
      <c r="B145" s="207" t="s">
        <v>390</v>
      </c>
      <c r="C145" s="611" t="s">
        <v>1245</v>
      </c>
      <c r="D145" s="220"/>
      <c r="E145" s="203"/>
      <c r="F145" s="201"/>
      <c r="G145" s="201"/>
      <c r="H145" s="196"/>
      <c r="I145" s="196"/>
      <c r="J145" s="203"/>
      <c r="K145" s="221"/>
      <c r="L145" s="248"/>
    </row>
    <row r="146" spans="1:12" ht="55.5" customHeight="1" x14ac:dyDescent="0.2">
      <c r="A146" s="56" t="s">
        <v>418</v>
      </c>
      <c r="B146" s="206"/>
      <c r="C146" s="612"/>
      <c r="D146" s="226" t="s">
        <v>388</v>
      </c>
      <c r="E146" s="204" t="s">
        <v>1236</v>
      </c>
      <c r="F146" s="187" t="s">
        <v>389</v>
      </c>
      <c r="G146" s="187" t="s">
        <v>126</v>
      </c>
      <c r="H146" s="188">
        <f>(46178318)/1000*$H$5</f>
        <v>46178.317999999999</v>
      </c>
      <c r="I146" s="188">
        <f>H146-(1471085+2237239+429854+2062761)/1000*$H$5</f>
        <v>39977.379000000001</v>
      </c>
      <c r="J146" s="204" t="s">
        <v>537</v>
      </c>
      <c r="K146" s="224"/>
      <c r="L146" s="248" t="s">
        <v>388</v>
      </c>
    </row>
    <row r="147" spans="1:12" ht="76.5" customHeight="1" x14ac:dyDescent="0.2">
      <c r="A147" s="56" t="s">
        <v>421</v>
      </c>
      <c r="B147" s="235" t="s">
        <v>1017</v>
      </c>
      <c r="C147" s="612"/>
      <c r="D147" s="226" t="s">
        <v>401</v>
      </c>
      <c r="E147" s="204" t="s">
        <v>1237</v>
      </c>
      <c r="F147" s="202" t="s">
        <v>177</v>
      </c>
      <c r="G147" s="202" t="s">
        <v>177</v>
      </c>
      <c r="H147" s="193">
        <f>(1750000)/1000*$H$5</f>
        <v>1750</v>
      </c>
      <c r="I147" s="193">
        <f t="shared" ref="I147:I153" si="5">H147-(0)/1000*$H$5</f>
        <v>1750</v>
      </c>
      <c r="J147" s="205" t="s">
        <v>386</v>
      </c>
      <c r="K147" s="266"/>
      <c r="L147" s="248" t="s">
        <v>401</v>
      </c>
    </row>
    <row r="148" spans="1:12" ht="48" x14ac:dyDescent="0.2">
      <c r="A148" s="75" t="s">
        <v>434</v>
      </c>
      <c r="B148" s="206" t="s">
        <v>1238</v>
      </c>
      <c r="C148" s="612"/>
      <c r="D148" s="192" t="s">
        <v>411</v>
      </c>
      <c r="E148" s="66" t="s">
        <v>1278</v>
      </c>
      <c r="F148" s="202" t="s">
        <v>126</v>
      </c>
      <c r="G148" s="202" t="s">
        <v>8</v>
      </c>
      <c r="H148" s="193">
        <f>(900000)/1000*$H$5</f>
        <v>900</v>
      </c>
      <c r="I148" s="193">
        <f t="shared" si="5"/>
        <v>900</v>
      </c>
      <c r="J148" s="205" t="s">
        <v>405</v>
      </c>
      <c r="K148" s="228"/>
      <c r="L148" s="248" t="s">
        <v>411</v>
      </c>
    </row>
    <row r="149" spans="1:12" ht="50.25" customHeight="1" x14ac:dyDescent="0.2">
      <c r="A149" s="75" t="s">
        <v>1239</v>
      </c>
      <c r="B149" s="207" t="s">
        <v>406</v>
      </c>
      <c r="C149" s="612"/>
      <c r="D149" s="192" t="s">
        <v>412</v>
      </c>
      <c r="E149" s="66" t="s">
        <v>1240</v>
      </c>
      <c r="F149" s="77" t="s">
        <v>410</v>
      </c>
      <c r="G149" s="77" t="s">
        <v>410</v>
      </c>
      <c r="H149" s="193">
        <f>(840000)/1000*$H$5</f>
        <v>840</v>
      </c>
      <c r="I149" s="193">
        <f t="shared" si="5"/>
        <v>840</v>
      </c>
      <c r="J149" s="66" t="s">
        <v>409</v>
      </c>
      <c r="K149" s="78"/>
      <c r="L149" s="60" t="s">
        <v>412</v>
      </c>
    </row>
    <row r="150" spans="1:12" ht="48" x14ac:dyDescent="0.2">
      <c r="A150" s="75" t="s">
        <v>435</v>
      </c>
      <c r="B150" s="207" t="s">
        <v>413</v>
      </c>
      <c r="C150" s="612"/>
      <c r="D150" s="226" t="s">
        <v>425</v>
      </c>
      <c r="E150" s="204" t="s">
        <v>1241</v>
      </c>
      <c r="F150" s="77" t="s">
        <v>12</v>
      </c>
      <c r="G150" s="77" t="s">
        <v>52</v>
      </c>
      <c r="H150" s="193">
        <f>(1150000)/1000*$H$5</f>
        <v>1150</v>
      </c>
      <c r="I150" s="193">
        <f t="shared" si="5"/>
        <v>1150</v>
      </c>
      <c r="J150" s="66" t="s">
        <v>414</v>
      </c>
      <c r="K150" s="78"/>
      <c r="L150" s="60" t="s">
        <v>425</v>
      </c>
    </row>
    <row r="151" spans="1:12" ht="48" x14ac:dyDescent="0.2">
      <c r="A151" s="56" t="s">
        <v>436</v>
      </c>
      <c r="B151" s="207" t="s">
        <v>415</v>
      </c>
      <c r="C151" s="612"/>
      <c r="D151" s="226" t="s">
        <v>424</v>
      </c>
      <c r="E151" s="204" t="s">
        <v>1243</v>
      </c>
      <c r="F151" s="187" t="s">
        <v>12</v>
      </c>
      <c r="G151" s="187" t="s">
        <v>52</v>
      </c>
      <c r="H151" s="188">
        <f>(1291000)/1000*$H$5</f>
        <v>1291</v>
      </c>
      <c r="I151" s="188">
        <f t="shared" si="5"/>
        <v>1291</v>
      </c>
      <c r="J151" s="204" t="s">
        <v>422</v>
      </c>
      <c r="K151" s="224"/>
      <c r="L151" s="60" t="s">
        <v>424</v>
      </c>
    </row>
    <row r="152" spans="1:12" ht="54" customHeight="1" x14ac:dyDescent="0.2">
      <c r="A152" s="75" t="s">
        <v>437</v>
      </c>
      <c r="B152" s="207" t="s">
        <v>1242</v>
      </c>
      <c r="C152" s="612"/>
      <c r="D152" s="226" t="s">
        <v>423</v>
      </c>
      <c r="E152" s="204" t="s">
        <v>1244</v>
      </c>
      <c r="F152" s="202" t="s">
        <v>49</v>
      </c>
      <c r="G152" s="202" t="s">
        <v>52</v>
      </c>
      <c r="H152" s="193">
        <f>(1227945)/1000*$H$5</f>
        <v>1227.9449999999999</v>
      </c>
      <c r="I152" s="193">
        <f t="shared" si="5"/>
        <v>1227.9449999999999</v>
      </c>
      <c r="J152" s="205" t="s">
        <v>422</v>
      </c>
      <c r="K152" s="266"/>
      <c r="L152" s="60" t="s">
        <v>423</v>
      </c>
    </row>
    <row r="153" spans="1:12" ht="120" x14ac:dyDescent="0.2">
      <c r="A153" s="75" t="s">
        <v>447</v>
      </c>
      <c r="B153" s="207" t="s">
        <v>426</v>
      </c>
      <c r="C153" s="205" t="s">
        <v>1246</v>
      </c>
      <c r="D153" s="267" t="s">
        <v>429</v>
      </c>
      <c r="E153" s="205" t="s">
        <v>1279</v>
      </c>
      <c r="F153" s="77" t="s">
        <v>427</v>
      </c>
      <c r="G153" s="77" t="s">
        <v>5</v>
      </c>
      <c r="H153" s="193">
        <f>(550000)/1000*$H$5</f>
        <v>550</v>
      </c>
      <c r="I153" s="193">
        <f t="shared" si="5"/>
        <v>550</v>
      </c>
      <c r="J153" s="66" t="s">
        <v>428</v>
      </c>
      <c r="K153" s="78"/>
      <c r="L153" s="60" t="s">
        <v>429</v>
      </c>
    </row>
    <row r="154" spans="1:12" ht="150" customHeight="1" x14ac:dyDescent="0.2">
      <c r="A154" s="75" t="s">
        <v>450</v>
      </c>
      <c r="B154" s="66" t="s">
        <v>1248</v>
      </c>
      <c r="C154" s="611" t="s">
        <v>1247</v>
      </c>
      <c r="D154" s="220" t="s">
        <v>994</v>
      </c>
      <c r="E154" s="203" t="s">
        <v>1249</v>
      </c>
      <c r="F154" s="201" t="s">
        <v>14</v>
      </c>
      <c r="G154" s="201" t="s">
        <v>11</v>
      </c>
      <c r="H154" s="188">
        <f>(390000000)/1000*$H$5</f>
        <v>390000</v>
      </c>
      <c r="I154" s="193">
        <f>H154-(10473000+2569000+38773249+1655506+4134020+386559+17036387+15325570+15342207+3454876+1477757+74199+980000)/1000*$H$5</f>
        <v>278317.67</v>
      </c>
      <c r="J154" s="197" t="s">
        <v>805</v>
      </c>
      <c r="K154" s="268"/>
      <c r="L154" s="60" t="s">
        <v>994</v>
      </c>
    </row>
    <row r="155" spans="1:12" ht="72" x14ac:dyDescent="0.2">
      <c r="A155" s="75" t="s">
        <v>543</v>
      </c>
      <c r="B155" s="207" t="s">
        <v>1250</v>
      </c>
      <c r="C155" s="613"/>
      <c r="D155" s="192" t="s">
        <v>995</v>
      </c>
      <c r="E155" s="66" t="s">
        <v>1251</v>
      </c>
      <c r="F155" s="77" t="s">
        <v>84</v>
      </c>
      <c r="G155" s="77" t="s">
        <v>7</v>
      </c>
      <c r="H155" s="195">
        <f>(13244584)/1000*$H$5</f>
        <v>13244.584000000001</v>
      </c>
      <c r="I155" s="193">
        <f>H155-(3944931+1927740)/1000*$H$5</f>
        <v>7371.9130000000005</v>
      </c>
      <c r="J155" s="66" t="s">
        <v>430</v>
      </c>
      <c r="K155" s="78"/>
    </row>
    <row r="156" spans="1:12" ht="108" x14ac:dyDescent="0.2">
      <c r="A156" s="75" t="s">
        <v>552</v>
      </c>
      <c r="B156" s="207" t="s">
        <v>1252</v>
      </c>
      <c r="C156" s="131" t="s">
        <v>1257</v>
      </c>
      <c r="D156" s="183" t="s">
        <v>1254</v>
      </c>
      <c r="E156" s="131" t="s">
        <v>1253</v>
      </c>
      <c r="F156" s="77" t="s">
        <v>84</v>
      </c>
      <c r="G156" s="77" t="s">
        <v>84</v>
      </c>
      <c r="H156" s="193">
        <f>(500000)/1000*$H$5</f>
        <v>500</v>
      </c>
      <c r="I156" s="193">
        <f>H156-(0)/1000*$H$5</f>
        <v>500</v>
      </c>
      <c r="J156" s="66" t="s">
        <v>431</v>
      </c>
      <c r="K156" s="78"/>
    </row>
    <row r="157" spans="1:12" ht="153.75" customHeight="1" x14ac:dyDescent="0.2">
      <c r="A157" s="75" t="s">
        <v>1255</v>
      </c>
      <c r="B157" s="207" t="s">
        <v>765</v>
      </c>
      <c r="C157" s="131" t="s">
        <v>1256</v>
      </c>
      <c r="D157" s="183" t="s">
        <v>587</v>
      </c>
      <c r="E157" s="131" t="s">
        <v>1258</v>
      </c>
      <c r="F157" s="77" t="s">
        <v>14</v>
      </c>
      <c r="G157" s="77" t="s">
        <v>586</v>
      </c>
      <c r="H157" s="193">
        <f>(119096424)/1000*$H$5</f>
        <v>119096.424</v>
      </c>
      <c r="I157" s="193">
        <f>H157-(4720342+9389674+2380253+20611493+1300885+1430964+661059)/1000*$H$5</f>
        <v>78601.754000000001</v>
      </c>
      <c r="J157" s="66" t="s">
        <v>585</v>
      </c>
      <c r="K157" s="78"/>
      <c r="L157" s="60" t="s">
        <v>587</v>
      </c>
    </row>
    <row r="158" spans="1:12" ht="172.5" customHeight="1" x14ac:dyDescent="0.2">
      <c r="A158" s="75" t="s">
        <v>680</v>
      </c>
      <c r="B158" s="207" t="s">
        <v>625</v>
      </c>
      <c r="C158" s="131" t="s">
        <v>1259</v>
      </c>
      <c r="D158" s="183" t="s">
        <v>626</v>
      </c>
      <c r="E158" s="131" t="s">
        <v>1260</v>
      </c>
      <c r="F158" s="77" t="s">
        <v>95</v>
      </c>
      <c r="G158" s="77" t="s">
        <v>11</v>
      </c>
      <c r="H158" s="193">
        <f>(19671702+1204838+5361278)/1000*$H$5</f>
        <v>26237.817999999999</v>
      </c>
      <c r="I158" s="193">
        <f>H158-(1399023+56345+1515335)/1000*$H$5</f>
        <v>23267.114999999998</v>
      </c>
      <c r="J158" s="66" t="s">
        <v>627</v>
      </c>
      <c r="K158" s="78"/>
      <c r="L158" s="60" t="s">
        <v>626</v>
      </c>
    </row>
    <row r="159" spans="1:12" ht="37.5" customHeight="1" x14ac:dyDescent="0.2">
      <c r="A159" s="250" t="s">
        <v>682</v>
      </c>
      <c r="B159" s="207" t="s">
        <v>1267</v>
      </c>
      <c r="C159" s="582" t="s">
        <v>1261</v>
      </c>
      <c r="D159" s="182"/>
      <c r="E159" s="198"/>
      <c r="F159" s="201"/>
      <c r="G159" s="201"/>
      <c r="H159" s="196">
        <f>(0)/1000*$H$5</f>
        <v>0</v>
      </c>
      <c r="I159" s="196">
        <f>H159-(0)/1000*$H$5</f>
        <v>0</v>
      </c>
      <c r="J159" s="203"/>
      <c r="K159" s="221"/>
    </row>
    <row r="160" spans="1:12" ht="36" x14ac:dyDescent="0.2">
      <c r="A160" s="56" t="s">
        <v>1262</v>
      </c>
      <c r="B160" s="206"/>
      <c r="C160" s="583"/>
      <c r="D160" s="176" t="s">
        <v>441</v>
      </c>
      <c r="E160" s="206" t="s">
        <v>1263</v>
      </c>
      <c r="F160" s="187" t="s">
        <v>439</v>
      </c>
      <c r="G160" s="187" t="s">
        <v>126</v>
      </c>
      <c r="H160" s="188">
        <f>(7168312)/1000*$H$5</f>
        <v>7168.3119999999999</v>
      </c>
      <c r="I160" s="188">
        <f>H160-(803199)/1000*$H$5</f>
        <v>6365.1130000000003</v>
      </c>
      <c r="J160" s="204" t="s">
        <v>438</v>
      </c>
      <c r="K160" s="224"/>
      <c r="L160" s="60" t="s">
        <v>441</v>
      </c>
    </row>
    <row r="161" spans="1:12" ht="42.75" customHeight="1" x14ac:dyDescent="0.2">
      <c r="A161" s="56" t="s">
        <v>1265</v>
      </c>
      <c r="B161" s="206"/>
      <c r="C161" s="583"/>
      <c r="D161" s="176" t="s">
        <v>442</v>
      </c>
      <c r="E161" s="200" t="s">
        <v>1264</v>
      </c>
      <c r="F161" s="187" t="s">
        <v>119</v>
      </c>
      <c r="G161" s="187" t="s">
        <v>295</v>
      </c>
      <c r="H161" s="188">
        <f>(14067218)/1000*$H$5</f>
        <v>14067.218000000001</v>
      </c>
      <c r="I161" s="188">
        <f>H161-(0)/1000*$H$5</f>
        <v>14067.218000000001</v>
      </c>
      <c r="J161" s="194" t="s">
        <v>446</v>
      </c>
      <c r="K161" s="224"/>
      <c r="L161" s="60" t="s">
        <v>442</v>
      </c>
    </row>
    <row r="162" spans="1:12" ht="60" x14ac:dyDescent="0.2">
      <c r="A162" s="56" t="s">
        <v>1266</v>
      </c>
      <c r="B162" s="235"/>
      <c r="C162" s="583"/>
      <c r="D162" s="176" t="s">
        <v>440</v>
      </c>
      <c r="E162" s="200" t="s">
        <v>1268</v>
      </c>
      <c r="F162" s="187" t="s">
        <v>8</v>
      </c>
      <c r="G162" s="187" t="s">
        <v>56</v>
      </c>
      <c r="H162" s="188">
        <f>(24083149)/1000*$H$5</f>
        <v>24083.149000000001</v>
      </c>
      <c r="I162" s="188">
        <f>H162-(0)/1000*$H$5</f>
        <v>24083.149000000001</v>
      </c>
      <c r="J162" s="204" t="s">
        <v>445</v>
      </c>
      <c r="K162" s="224"/>
      <c r="L162" s="60" t="s">
        <v>440</v>
      </c>
    </row>
    <row r="163" spans="1:12" ht="48" x14ac:dyDescent="0.2">
      <c r="A163" s="112" t="s">
        <v>683</v>
      </c>
      <c r="B163" s="4" t="s">
        <v>676</v>
      </c>
      <c r="C163" s="584"/>
      <c r="D163" s="181" t="s">
        <v>448</v>
      </c>
      <c r="E163" s="199" t="s">
        <v>1269</v>
      </c>
      <c r="F163" s="77" t="s">
        <v>177</v>
      </c>
      <c r="G163" s="77" t="s">
        <v>48</v>
      </c>
      <c r="H163" s="195">
        <f>(24894319)/1000*$H$5</f>
        <v>24894.319</v>
      </c>
      <c r="I163" s="195">
        <f>H163-(1597047)/1000*$H$5</f>
        <v>23297.272000000001</v>
      </c>
      <c r="J163" s="66" t="s">
        <v>449</v>
      </c>
      <c r="K163" s="78"/>
      <c r="L163" s="60" t="s">
        <v>448</v>
      </c>
    </row>
    <row r="164" spans="1:12" ht="112.5" customHeight="1" x14ac:dyDescent="0.2">
      <c r="A164" s="75" t="s">
        <v>684</v>
      </c>
      <c r="B164" s="207" t="s">
        <v>676</v>
      </c>
      <c r="C164" s="199" t="s">
        <v>1270</v>
      </c>
      <c r="D164" s="181" t="s">
        <v>1000</v>
      </c>
      <c r="E164" s="199" t="s">
        <v>1280</v>
      </c>
      <c r="F164" s="77" t="s">
        <v>124</v>
      </c>
      <c r="G164" s="77" t="s">
        <v>54</v>
      </c>
      <c r="H164" s="193">
        <f>(1490000)/1000*$H$5</f>
        <v>1490</v>
      </c>
      <c r="I164" s="193">
        <f>H164-(0)/1000*$H$5</f>
        <v>1490</v>
      </c>
      <c r="J164" s="66" t="s">
        <v>556</v>
      </c>
      <c r="K164" s="78"/>
    </row>
    <row r="165" spans="1:12" ht="219.75" customHeight="1" x14ac:dyDescent="0.2">
      <c r="A165" s="75" t="s">
        <v>685</v>
      </c>
      <c r="B165" s="207" t="s">
        <v>1283</v>
      </c>
      <c r="C165" s="198" t="s">
        <v>1281</v>
      </c>
      <c r="D165" s="182" t="s">
        <v>551</v>
      </c>
      <c r="E165" s="198" t="s">
        <v>1272</v>
      </c>
      <c r="F165" s="201" t="s">
        <v>6</v>
      </c>
      <c r="G165" s="201" t="s">
        <v>7</v>
      </c>
      <c r="H165" s="196">
        <f>(444005270)/1000*$H$5</f>
        <v>444005.27</v>
      </c>
      <c r="I165" s="196">
        <f>H165-(1802298+116204+5445957+4438015+332211+8285705+1361841+6213406+130743)/1000*$H$5</f>
        <v>415878.89</v>
      </c>
      <c r="J165" s="197" t="s">
        <v>1271</v>
      </c>
      <c r="K165" s="78"/>
      <c r="L165" s="60" t="s">
        <v>551</v>
      </c>
    </row>
    <row r="166" spans="1:12" ht="93" customHeight="1" x14ac:dyDescent="0.2">
      <c r="A166" s="75" t="s">
        <v>688</v>
      </c>
      <c r="B166" s="207" t="s">
        <v>1001</v>
      </c>
      <c r="C166" s="199" t="s">
        <v>1282</v>
      </c>
      <c r="D166" s="181" t="s">
        <v>581</v>
      </c>
      <c r="E166" s="199" t="s">
        <v>1284</v>
      </c>
      <c r="F166" s="202" t="s">
        <v>4</v>
      </c>
      <c r="G166" s="202" t="s">
        <v>24</v>
      </c>
      <c r="H166" s="193">
        <f>(37438795+4559067)/1000*$H$5</f>
        <v>41997.862000000001</v>
      </c>
      <c r="I166" s="193">
        <f>H166-(0)/1000*$H$5</f>
        <v>41997.862000000001</v>
      </c>
      <c r="J166" s="66" t="s">
        <v>681</v>
      </c>
      <c r="K166" s="78"/>
      <c r="L166" s="60" t="s">
        <v>581</v>
      </c>
    </row>
    <row r="167" spans="1:12" ht="102" customHeight="1" x14ac:dyDescent="0.2">
      <c r="A167" s="75" t="s">
        <v>689</v>
      </c>
      <c r="B167" s="207" t="s">
        <v>1285</v>
      </c>
      <c r="C167" s="582" t="s">
        <v>1287</v>
      </c>
      <c r="D167" s="182" t="s">
        <v>562</v>
      </c>
      <c r="E167" s="198" t="s">
        <v>1286</v>
      </c>
      <c r="F167" s="77" t="s">
        <v>46</v>
      </c>
      <c r="G167" s="77" t="s">
        <v>52</v>
      </c>
      <c r="H167" s="193">
        <f>(12510963+537851)/1000*$H$5</f>
        <v>13048.814</v>
      </c>
      <c r="I167" s="193">
        <f>H167-(0)/1000*$H$5</f>
        <v>13048.814</v>
      </c>
      <c r="J167" s="66" t="s">
        <v>558</v>
      </c>
      <c r="K167" s="78"/>
      <c r="L167" s="60" t="s">
        <v>562</v>
      </c>
    </row>
    <row r="168" spans="1:12" ht="60" x14ac:dyDescent="0.2">
      <c r="A168" s="75" t="s">
        <v>690</v>
      </c>
      <c r="B168" s="207" t="s">
        <v>579</v>
      </c>
      <c r="C168" s="584"/>
      <c r="D168" s="181" t="s">
        <v>580</v>
      </c>
      <c r="E168" s="199" t="s">
        <v>1288</v>
      </c>
      <c r="F168" s="77" t="s">
        <v>488</v>
      </c>
      <c r="G168" s="77" t="s">
        <v>7</v>
      </c>
      <c r="H168" s="193">
        <f>(2281959)/1000*$H$5</f>
        <v>2281.9589999999998</v>
      </c>
      <c r="I168" s="193">
        <f>H168-(0)/1000*$H$5</f>
        <v>2281.9589999999998</v>
      </c>
      <c r="J168" s="66" t="s">
        <v>578</v>
      </c>
      <c r="K168" s="78"/>
      <c r="L168" s="60" t="s">
        <v>580</v>
      </c>
    </row>
    <row r="169" spans="1:12" ht="60" x14ac:dyDescent="0.2">
      <c r="A169" s="75" t="s">
        <v>691</v>
      </c>
      <c r="B169" s="207" t="s">
        <v>771</v>
      </c>
      <c r="C169" s="199" t="s">
        <v>632</v>
      </c>
      <c r="D169" s="181" t="s">
        <v>634</v>
      </c>
      <c r="E169" s="199" t="s">
        <v>1289</v>
      </c>
      <c r="F169" s="77" t="s">
        <v>101</v>
      </c>
      <c r="G169" s="77" t="s">
        <v>103</v>
      </c>
      <c r="H169" s="193">
        <f>(7649009)/1000*$H$5</f>
        <v>7649.009</v>
      </c>
      <c r="I169" s="193">
        <f>H169-(0)/1000*$H$5</f>
        <v>7649.009</v>
      </c>
      <c r="J169" s="66" t="s">
        <v>633</v>
      </c>
      <c r="K169" s="78"/>
      <c r="L169" s="60" t="s">
        <v>634</v>
      </c>
    </row>
    <row r="170" spans="1:12" ht="120" x14ac:dyDescent="0.2">
      <c r="A170" s="112" t="s">
        <v>693</v>
      </c>
      <c r="B170" s="4" t="s">
        <v>559</v>
      </c>
      <c r="C170" s="199" t="s">
        <v>772</v>
      </c>
      <c r="D170" s="181" t="s">
        <v>566</v>
      </c>
      <c r="E170" s="199" t="s">
        <v>1290</v>
      </c>
      <c r="F170" s="77" t="s">
        <v>427</v>
      </c>
      <c r="G170" s="77" t="s">
        <v>7</v>
      </c>
      <c r="H170" s="193">
        <f>(3700000)/1000*$H$5</f>
        <v>3700</v>
      </c>
      <c r="I170" s="193">
        <f>H170-(1300000)/1000*$H$5</f>
        <v>2400</v>
      </c>
      <c r="J170" s="66" t="s">
        <v>570</v>
      </c>
      <c r="K170" s="78"/>
      <c r="L170" s="60" t="s">
        <v>566</v>
      </c>
    </row>
    <row r="171" spans="1:12" ht="140.25" customHeight="1" x14ac:dyDescent="0.2">
      <c r="A171" s="75" t="s">
        <v>1291</v>
      </c>
      <c r="B171" s="207" t="s">
        <v>559</v>
      </c>
      <c r="C171" s="199" t="s">
        <v>1292</v>
      </c>
      <c r="D171" s="181" t="s">
        <v>561</v>
      </c>
      <c r="E171" s="199" t="s">
        <v>1293</v>
      </c>
      <c r="F171" s="77" t="s">
        <v>54</v>
      </c>
      <c r="G171" s="77" t="s">
        <v>52</v>
      </c>
      <c r="H171" s="193">
        <f>(1555540)/1000*$H$5</f>
        <v>1555.54</v>
      </c>
      <c r="I171" s="193">
        <f>H171-(0)/1000*$H$5</f>
        <v>1555.54</v>
      </c>
      <c r="J171" s="66" t="s">
        <v>560</v>
      </c>
      <c r="K171" s="78"/>
      <c r="L171" s="60" t="s">
        <v>561</v>
      </c>
    </row>
    <row r="172" spans="1:12" ht="156" x14ac:dyDescent="0.2">
      <c r="A172" s="75" t="s">
        <v>696</v>
      </c>
      <c r="B172" s="207" t="s">
        <v>1295</v>
      </c>
      <c r="C172" s="199" t="s">
        <v>1294</v>
      </c>
      <c r="D172" s="181" t="s">
        <v>592</v>
      </c>
      <c r="E172" s="199" t="s">
        <v>1296</v>
      </c>
      <c r="F172" s="77" t="s">
        <v>124</v>
      </c>
      <c r="G172" s="77" t="s">
        <v>7</v>
      </c>
      <c r="H172" s="193">
        <v>35340.406999999999</v>
      </c>
      <c r="I172" s="193">
        <v>35340.406999999999</v>
      </c>
      <c r="J172" s="66" t="s">
        <v>774</v>
      </c>
      <c r="K172" s="78"/>
      <c r="L172" s="60" t="s">
        <v>592</v>
      </c>
    </row>
    <row r="173" spans="1:12" ht="204" customHeight="1" x14ac:dyDescent="0.2">
      <c r="A173" s="75" t="s">
        <v>697</v>
      </c>
      <c r="B173" s="207" t="s">
        <v>1297</v>
      </c>
      <c r="C173" s="199" t="s">
        <v>1298</v>
      </c>
      <c r="D173" s="181" t="s">
        <v>644</v>
      </c>
      <c r="E173" s="199" t="s">
        <v>1299</v>
      </c>
      <c r="F173" s="77" t="s">
        <v>107</v>
      </c>
      <c r="G173" s="77" t="s">
        <v>63</v>
      </c>
      <c r="H173" s="193">
        <f>(21476783)/1000*$H$5</f>
        <v>21476.782999999999</v>
      </c>
      <c r="I173" s="193">
        <f>H173-(0)/1000*$H$5</f>
        <v>21476.782999999999</v>
      </c>
      <c r="J173" s="66" t="s">
        <v>643</v>
      </c>
      <c r="K173" s="78"/>
      <c r="L173" s="60" t="s">
        <v>644</v>
      </c>
    </row>
    <row r="174" spans="1:12" ht="174" customHeight="1" x14ac:dyDescent="0.2">
      <c r="A174" s="75" t="s">
        <v>698</v>
      </c>
      <c r="B174" s="207" t="s">
        <v>645</v>
      </c>
      <c r="C174" s="199" t="s">
        <v>1300</v>
      </c>
      <c r="D174" s="181" t="s">
        <v>1006</v>
      </c>
      <c r="E174" s="199" t="s">
        <v>1301</v>
      </c>
      <c r="F174" s="77" t="s">
        <v>16</v>
      </c>
      <c r="G174" s="77" t="s">
        <v>63</v>
      </c>
      <c r="H174" s="193">
        <f>(89000000)/1000*$H$5</f>
        <v>89000</v>
      </c>
      <c r="I174" s="193">
        <f>H174-(0)/1000*$H$5</f>
        <v>89000</v>
      </c>
      <c r="J174" s="66" t="s">
        <v>646</v>
      </c>
      <c r="K174" s="78"/>
    </row>
    <row r="175" spans="1:12" ht="132" x14ac:dyDescent="0.2">
      <c r="A175" s="75" t="s">
        <v>700</v>
      </c>
      <c r="B175" s="207" t="s">
        <v>582</v>
      </c>
      <c r="C175" s="199" t="s">
        <v>1302</v>
      </c>
      <c r="D175" s="181" t="s">
        <v>583</v>
      </c>
      <c r="E175" s="199" t="s">
        <v>1303</v>
      </c>
      <c r="F175" s="77" t="s">
        <v>14</v>
      </c>
      <c r="G175" s="77" t="s">
        <v>91</v>
      </c>
      <c r="H175" s="193">
        <f>(2201287+41913)/1000*$H$5</f>
        <v>2243.1999999999998</v>
      </c>
      <c r="I175" s="193">
        <f>H175-(0)/1000*$H$5</f>
        <v>2243.1999999999998</v>
      </c>
      <c r="J175" s="66" t="s">
        <v>584</v>
      </c>
      <c r="K175" s="78"/>
      <c r="L175" s="60" t="s">
        <v>583</v>
      </c>
    </row>
    <row r="176" spans="1:12" ht="108" x14ac:dyDescent="0.2">
      <c r="A176" s="75" t="s">
        <v>1308</v>
      </c>
      <c r="B176" s="207" t="s">
        <v>1304</v>
      </c>
      <c r="C176" s="582" t="s">
        <v>1311</v>
      </c>
      <c r="D176" s="182" t="s">
        <v>588</v>
      </c>
      <c r="E176" s="198" t="s">
        <v>1306</v>
      </c>
      <c r="F176" s="77" t="s">
        <v>35</v>
      </c>
      <c r="G176" s="77" t="s">
        <v>230</v>
      </c>
      <c r="H176" s="193">
        <f>(3829000-217990)/1000*$H$5</f>
        <v>3611.01</v>
      </c>
      <c r="I176" s="193">
        <f>H176-(262712)/1000*$H$5</f>
        <v>3348.2980000000002</v>
      </c>
      <c r="J176" s="66" t="s">
        <v>776</v>
      </c>
      <c r="K176" s="198" t="s">
        <v>1007</v>
      </c>
      <c r="L176" s="60" t="s">
        <v>588</v>
      </c>
    </row>
    <row r="177" spans="1:13" ht="82.5" customHeight="1" x14ac:dyDescent="0.2">
      <c r="A177" s="75" t="s">
        <v>1309</v>
      </c>
      <c r="B177" s="207" t="s">
        <v>1305</v>
      </c>
      <c r="C177" s="584"/>
      <c r="D177" s="181" t="s">
        <v>1008</v>
      </c>
      <c r="E177" s="198" t="s">
        <v>1307</v>
      </c>
      <c r="F177" s="77" t="s">
        <v>7</v>
      </c>
      <c r="G177" s="113" t="s">
        <v>91</v>
      </c>
      <c r="H177" s="114">
        <f>(4794400)/1000*$H$5</f>
        <v>4794.3999999999996</v>
      </c>
      <c r="I177" s="114">
        <f>H177-(0)/1000*$H$5</f>
        <v>4794.3999999999996</v>
      </c>
      <c r="J177" s="66" t="s">
        <v>591</v>
      </c>
      <c r="K177" s="78"/>
      <c r="L177" s="60" t="s">
        <v>589</v>
      </c>
    </row>
    <row r="178" spans="1:13" ht="108" x14ac:dyDescent="0.2">
      <c r="A178" s="75" t="s">
        <v>705</v>
      </c>
      <c r="B178" s="207" t="s">
        <v>778</v>
      </c>
      <c r="C178" s="582" t="s">
        <v>1313</v>
      </c>
      <c r="D178" s="182" t="s">
        <v>596</v>
      </c>
      <c r="E178" s="198" t="s">
        <v>1310</v>
      </c>
      <c r="F178" s="201" t="s">
        <v>91</v>
      </c>
      <c r="G178" s="201" t="s">
        <v>11</v>
      </c>
      <c r="H178" s="188">
        <f>(643438996)/1000*$H$5</f>
        <v>643438.99600000004</v>
      </c>
      <c r="I178" s="193">
        <f>H178-(323242749+25894212+30130843+582706+506567+6431012+9466678+2847445+3299873+1773039+730584+2798678+4434391+900000+2970163)/1000*$H$5</f>
        <v>227430.05600000004</v>
      </c>
      <c r="J178" s="66" t="s">
        <v>595</v>
      </c>
      <c r="K178" s="78"/>
      <c r="L178" s="60" t="s">
        <v>596</v>
      </c>
    </row>
    <row r="179" spans="1:13" ht="55.5" customHeight="1" x14ac:dyDescent="0.2">
      <c r="A179" s="75" t="s">
        <v>706</v>
      </c>
      <c r="B179" s="207" t="s">
        <v>594</v>
      </c>
      <c r="C179" s="583"/>
      <c r="D179" s="183" t="s">
        <v>597</v>
      </c>
      <c r="E179" s="131" t="s">
        <v>1312</v>
      </c>
      <c r="F179" s="77" t="s">
        <v>211</v>
      </c>
      <c r="G179" s="77" t="s">
        <v>11</v>
      </c>
      <c r="H179" s="195">
        <f>(85900080)/1000*$H$5</f>
        <v>85900.08</v>
      </c>
      <c r="I179" s="193">
        <f>H179-(2220688+614603+606803)/1000*$H$5</f>
        <v>82457.986000000004</v>
      </c>
      <c r="J179" s="197" t="s">
        <v>779</v>
      </c>
      <c r="K179" s="78"/>
      <c r="L179" s="60" t="s">
        <v>597</v>
      </c>
    </row>
    <row r="180" spans="1:13" ht="156" x14ac:dyDescent="0.2">
      <c r="A180" s="75" t="s">
        <v>721</v>
      </c>
      <c r="B180" s="207" t="s">
        <v>780</v>
      </c>
      <c r="C180" s="199" t="s">
        <v>1313</v>
      </c>
      <c r="D180" s="181" t="s">
        <v>1010</v>
      </c>
      <c r="E180" s="131" t="s">
        <v>1314</v>
      </c>
      <c r="F180" s="202" t="s">
        <v>11</v>
      </c>
      <c r="G180" s="202" t="s">
        <v>598</v>
      </c>
      <c r="H180" s="193">
        <f>(142758713)/1000*$H$5</f>
        <v>142758.71299999999</v>
      </c>
      <c r="I180" s="193">
        <f>H180-(3974529+2178400+550000+3601754+7356265+501298)/1000*$H$5</f>
        <v>124596.46699999999</v>
      </c>
      <c r="J180" s="205" t="s">
        <v>781</v>
      </c>
      <c r="K180" s="78"/>
    </row>
    <row r="181" spans="1:13" ht="69" customHeight="1" x14ac:dyDescent="0.2">
      <c r="A181" s="75" t="s">
        <v>751</v>
      </c>
      <c r="B181" s="207" t="s">
        <v>1317</v>
      </c>
      <c r="C181" s="199" t="s">
        <v>1315</v>
      </c>
      <c r="D181" s="181" t="s">
        <v>568</v>
      </c>
      <c r="E181" s="199" t="s">
        <v>1316</v>
      </c>
      <c r="F181" s="77" t="s">
        <v>569</v>
      </c>
      <c r="G181" s="77" t="s">
        <v>91</v>
      </c>
      <c r="H181" s="193">
        <f>(18977634)/1000*$H$5</f>
        <v>18977.633999999998</v>
      </c>
      <c r="I181" s="193">
        <f>H181-(9713106)/1000*$H$5</f>
        <v>9264.5279999999984</v>
      </c>
      <c r="J181" s="199" t="s">
        <v>567</v>
      </c>
      <c r="K181" s="78"/>
      <c r="L181" s="60" t="s">
        <v>568</v>
      </c>
    </row>
    <row r="182" spans="1:13" ht="72" x14ac:dyDescent="0.2">
      <c r="A182" s="75" t="s">
        <v>752</v>
      </c>
      <c r="B182" s="207" t="s">
        <v>782</v>
      </c>
      <c r="C182" s="199" t="s">
        <v>1318</v>
      </c>
      <c r="D182" s="181" t="s">
        <v>614</v>
      </c>
      <c r="E182" s="199" t="s">
        <v>1319</v>
      </c>
      <c r="F182" s="77" t="s">
        <v>95</v>
      </c>
      <c r="G182" s="77" t="s">
        <v>104</v>
      </c>
      <c r="H182" s="193">
        <f>(10466390)/1000*$H$5</f>
        <v>10466.39</v>
      </c>
      <c r="I182" s="193">
        <f>H182-(0)/1000*$H$5</f>
        <v>10466.39</v>
      </c>
      <c r="J182" s="66" t="s">
        <v>615</v>
      </c>
      <c r="K182" s="78"/>
      <c r="L182" s="60" t="s">
        <v>614</v>
      </c>
    </row>
    <row r="183" spans="1:13" ht="84" x14ac:dyDescent="0.2">
      <c r="A183" s="75" t="s">
        <v>753</v>
      </c>
      <c r="B183" s="4" t="s">
        <v>783</v>
      </c>
      <c r="C183" s="131" t="s">
        <v>629</v>
      </c>
      <c r="D183" s="183" t="s">
        <v>1014</v>
      </c>
      <c r="E183" s="131" t="s">
        <v>1320</v>
      </c>
      <c r="F183" s="77" t="s">
        <v>95</v>
      </c>
      <c r="G183" s="77" t="s">
        <v>21</v>
      </c>
      <c r="H183" s="195">
        <f>(19971733.7)/1000*$H$5</f>
        <v>19971.733700000001</v>
      </c>
      <c r="I183" s="195">
        <f>H183-(0)/1000*$H$5</f>
        <v>19971.733700000001</v>
      </c>
      <c r="J183" s="66" t="s">
        <v>631</v>
      </c>
      <c r="K183" s="78"/>
      <c r="L183" s="68" t="s">
        <v>630</v>
      </c>
      <c r="M183" s="60">
        <v>19971733.699999999</v>
      </c>
    </row>
    <row r="184" spans="1:13" ht="54.75" customHeight="1" x14ac:dyDescent="0.2">
      <c r="A184" s="75" t="s">
        <v>754</v>
      </c>
      <c r="B184" s="206" t="s">
        <v>783</v>
      </c>
      <c r="C184" s="198" t="s">
        <v>1323</v>
      </c>
      <c r="D184" s="176" t="s">
        <v>573</v>
      </c>
      <c r="E184" s="200" t="s">
        <v>1367</v>
      </c>
      <c r="F184" s="187" t="s">
        <v>49</v>
      </c>
      <c r="G184" s="187" t="s">
        <v>7</v>
      </c>
      <c r="H184" s="188">
        <f>(7958431)/1000*$H$5</f>
        <v>7958.4309999999996</v>
      </c>
      <c r="I184" s="188">
        <f>H184-(0)/1000*$H$5</f>
        <v>7958.4309999999996</v>
      </c>
      <c r="J184" s="204" t="s">
        <v>572</v>
      </c>
      <c r="K184" s="224"/>
    </row>
    <row r="185" spans="1:13" ht="38.25" customHeight="1" x14ac:dyDescent="0.2">
      <c r="A185" s="56" t="s">
        <v>1324</v>
      </c>
      <c r="B185" s="207" t="s">
        <v>1321</v>
      </c>
      <c r="C185" s="583" t="s">
        <v>1322</v>
      </c>
      <c r="D185" s="176"/>
      <c r="E185" s="200"/>
      <c r="F185" s="187"/>
      <c r="G185" s="187"/>
      <c r="H185" s="188"/>
      <c r="I185" s="188"/>
      <c r="J185" s="204"/>
      <c r="K185" s="224"/>
    </row>
    <row r="186" spans="1:13" ht="33.75" x14ac:dyDescent="0.2">
      <c r="A186" s="56" t="s">
        <v>755</v>
      </c>
      <c r="B186" s="206" t="s">
        <v>1328</v>
      </c>
      <c r="C186" s="583"/>
      <c r="D186" s="176" t="s">
        <v>575</v>
      </c>
      <c r="E186" s="200" t="s">
        <v>1327</v>
      </c>
      <c r="F186" s="187" t="s">
        <v>52</v>
      </c>
      <c r="G186" s="187" t="s">
        <v>63</v>
      </c>
      <c r="H186" s="188">
        <f>(201397276)/1000*$H$5</f>
        <v>201397.27600000001</v>
      </c>
      <c r="I186" s="188">
        <f>H186-(2563200+6523166+2974576+382255)/1000*$H$5</f>
        <v>188954.07900000003</v>
      </c>
      <c r="J186" s="204" t="s">
        <v>1017</v>
      </c>
      <c r="K186" s="224"/>
      <c r="L186" s="60" t="s">
        <v>575</v>
      </c>
    </row>
    <row r="187" spans="1:13" ht="36" x14ac:dyDescent="0.2">
      <c r="A187" s="56" t="s">
        <v>757</v>
      </c>
      <c r="B187" s="206" t="s">
        <v>1329</v>
      </c>
      <c r="C187" s="583"/>
      <c r="D187" s="176" t="s">
        <v>577</v>
      </c>
      <c r="E187" s="200" t="s">
        <v>1330</v>
      </c>
      <c r="F187" s="187" t="s">
        <v>488</v>
      </c>
      <c r="G187" s="187" t="s">
        <v>19</v>
      </c>
      <c r="H187" s="188">
        <f>(17518524)/1000*$H$5</f>
        <v>17518.524000000001</v>
      </c>
      <c r="I187" s="188">
        <f>H187-(0)/1000*$H$5</f>
        <v>17518.524000000001</v>
      </c>
      <c r="J187" s="204"/>
      <c r="K187" s="224"/>
      <c r="L187" s="60" t="s">
        <v>577</v>
      </c>
    </row>
    <row r="188" spans="1:13" ht="42" customHeight="1" x14ac:dyDescent="0.2">
      <c r="A188" s="56" t="s">
        <v>758</v>
      </c>
      <c r="B188" s="206" t="s">
        <v>599</v>
      </c>
      <c r="C188" s="583"/>
      <c r="D188" s="176" t="s">
        <v>603</v>
      </c>
      <c r="E188" s="200" t="s">
        <v>1331</v>
      </c>
      <c r="F188" s="187" t="s">
        <v>7</v>
      </c>
      <c r="G188" s="187" t="s">
        <v>11</v>
      </c>
      <c r="H188" s="188">
        <f>(43708282)/1000*$H$5</f>
        <v>43708.281999999999</v>
      </c>
      <c r="I188" s="188">
        <f>H188-(0)/1000*$H$5</f>
        <v>43708.281999999999</v>
      </c>
      <c r="J188" s="204" t="s">
        <v>716</v>
      </c>
      <c r="K188" s="224"/>
      <c r="L188" s="60" t="s">
        <v>603</v>
      </c>
      <c r="M188" s="60">
        <v>43708282</v>
      </c>
    </row>
    <row r="189" spans="1:13" ht="38.25" customHeight="1" x14ac:dyDescent="0.2">
      <c r="A189" s="56" t="s">
        <v>759</v>
      </c>
      <c r="B189" s="206" t="s">
        <v>1332</v>
      </c>
      <c r="C189" s="583"/>
      <c r="D189" s="176" t="s">
        <v>602</v>
      </c>
      <c r="E189" s="200" t="s">
        <v>1029</v>
      </c>
      <c r="F189" s="187" t="s">
        <v>86</v>
      </c>
      <c r="G189" s="187" t="s">
        <v>511</v>
      </c>
      <c r="H189" s="188">
        <f>(6500000)/1000*$H$5</f>
        <v>6500</v>
      </c>
      <c r="I189" s="188">
        <f>H189-(0)/1000*$H$5</f>
        <v>6500</v>
      </c>
      <c r="J189" s="204" t="s">
        <v>601</v>
      </c>
      <c r="K189" s="224"/>
      <c r="L189" s="60" t="s">
        <v>602</v>
      </c>
    </row>
    <row r="190" spans="1:13" ht="180" x14ac:dyDescent="0.2">
      <c r="A190" s="56" t="s">
        <v>760</v>
      </c>
      <c r="B190" s="206" t="s">
        <v>1333</v>
      </c>
      <c r="C190" s="583"/>
      <c r="D190" s="176" t="s">
        <v>605</v>
      </c>
      <c r="E190" s="200" t="s">
        <v>1030</v>
      </c>
      <c r="F190" s="187" t="s">
        <v>137</v>
      </c>
      <c r="G190" s="187" t="s">
        <v>15</v>
      </c>
      <c r="H190" s="188">
        <f>(35378118)/1000*$H$5</f>
        <v>35378.118000000002</v>
      </c>
      <c r="I190" s="188">
        <f>H190-(3938389+901930+3555281+3476986+654073)/1000*$H$5</f>
        <v>22851.459000000003</v>
      </c>
      <c r="J190" s="204" t="s">
        <v>717</v>
      </c>
      <c r="K190" s="224"/>
      <c r="L190" s="60" t="s">
        <v>605</v>
      </c>
    </row>
    <row r="191" spans="1:13" ht="108" x14ac:dyDescent="0.2">
      <c r="A191" s="56" t="s">
        <v>761</v>
      </c>
      <c r="B191" s="206" t="s">
        <v>1334</v>
      </c>
      <c r="C191" s="583"/>
      <c r="D191" s="176" t="s">
        <v>608</v>
      </c>
      <c r="E191" s="200" t="s">
        <v>1335</v>
      </c>
      <c r="F191" s="187" t="s">
        <v>137</v>
      </c>
      <c r="G191" s="187" t="s">
        <v>606</v>
      </c>
      <c r="H191" s="188">
        <f>(33543354)/1000*$H$5</f>
        <v>33543.353999999999</v>
      </c>
      <c r="I191" s="188">
        <f>H191-(4632327+4377223+2736212)/1000*$H$5</f>
        <v>21797.591999999997</v>
      </c>
      <c r="J191" s="204" t="s">
        <v>718</v>
      </c>
      <c r="K191" s="224"/>
      <c r="L191" s="60" t="s">
        <v>608</v>
      </c>
    </row>
    <row r="192" spans="1:13" ht="60.75" customHeight="1" x14ac:dyDescent="0.2">
      <c r="A192" s="56" t="s">
        <v>1325</v>
      </c>
      <c r="B192" s="206" t="s">
        <v>1334</v>
      </c>
      <c r="C192" s="583"/>
      <c r="D192" s="176" t="s">
        <v>609</v>
      </c>
      <c r="E192" s="200" t="s">
        <v>1336</v>
      </c>
      <c r="F192" s="187" t="s">
        <v>137</v>
      </c>
      <c r="G192" s="187" t="s">
        <v>610</v>
      </c>
      <c r="H192" s="188">
        <f>(20995727)/1000*$H$5</f>
        <v>20995.726999999999</v>
      </c>
      <c r="I192" s="188">
        <f>H192-(11424321)/1000*$H$5</f>
        <v>9571.405999999999</v>
      </c>
      <c r="J192" s="204" t="s">
        <v>719</v>
      </c>
      <c r="K192" s="224"/>
      <c r="L192" s="60" t="s">
        <v>609</v>
      </c>
    </row>
    <row r="193" spans="1:12" ht="60.75" customHeight="1" x14ac:dyDescent="0.2">
      <c r="A193" s="56" t="s">
        <v>1326</v>
      </c>
      <c r="B193" s="206" t="s">
        <v>611</v>
      </c>
      <c r="C193" s="583"/>
      <c r="D193" s="176" t="s">
        <v>612</v>
      </c>
      <c r="E193" s="200" t="s">
        <v>720</v>
      </c>
      <c r="F193" s="187" t="s">
        <v>95</v>
      </c>
      <c r="G193" s="187" t="s">
        <v>613</v>
      </c>
      <c r="H193" s="188">
        <f>(6222518)/1000*$H$5</f>
        <v>6222.518</v>
      </c>
      <c r="I193" s="188">
        <f>H193-(5140000)/1000*$H$5</f>
        <v>1082.518</v>
      </c>
      <c r="J193" s="204" t="s">
        <v>720</v>
      </c>
      <c r="K193" s="224">
        <v>6222518</v>
      </c>
    </row>
    <row r="194" spans="1:12" ht="60.75" customHeight="1" x14ac:dyDescent="0.2">
      <c r="A194" s="56" t="s">
        <v>1337</v>
      </c>
      <c r="B194" s="206" t="s">
        <v>1338</v>
      </c>
      <c r="C194" s="583"/>
      <c r="D194" s="176" t="s">
        <v>1339</v>
      </c>
      <c r="E194" s="200" t="s">
        <v>1340</v>
      </c>
      <c r="F194" s="187" t="s">
        <v>137</v>
      </c>
      <c r="G194" s="187" t="s">
        <v>610</v>
      </c>
      <c r="H194" s="188">
        <f>(17436617)/1000*$H$5</f>
        <v>17436.616999999998</v>
      </c>
      <c r="I194" s="188">
        <f t="shared" ref="I194:I199" si="6">H194-(0)/1000*$H$5</f>
        <v>17436.616999999998</v>
      </c>
      <c r="J194" s="269">
        <v>17436617</v>
      </c>
      <c r="K194" s="224"/>
    </row>
    <row r="195" spans="1:12" ht="60.75" customHeight="1" x14ac:dyDescent="0.2">
      <c r="A195" s="56" t="s">
        <v>1343</v>
      </c>
      <c r="B195" s="206" t="s">
        <v>1342</v>
      </c>
      <c r="C195" s="583"/>
      <c r="D195" s="176" t="s">
        <v>1341</v>
      </c>
      <c r="E195" s="200" t="s">
        <v>1344</v>
      </c>
      <c r="F195" s="187" t="s">
        <v>1346</v>
      </c>
      <c r="G195" s="187" t="s">
        <v>1345</v>
      </c>
      <c r="H195" s="188">
        <f>(16450686)/1000*$H$5</f>
        <v>16450.686000000002</v>
      </c>
      <c r="I195" s="188">
        <f t="shared" si="6"/>
        <v>16450.686000000002</v>
      </c>
      <c r="J195" s="204">
        <v>16450686</v>
      </c>
      <c r="K195" s="224"/>
    </row>
    <row r="196" spans="1:12" ht="60.75" customHeight="1" x14ac:dyDescent="0.2">
      <c r="A196" s="56" t="s">
        <v>1347</v>
      </c>
      <c r="B196" s="206" t="s">
        <v>1348</v>
      </c>
      <c r="C196" s="583"/>
      <c r="D196" s="176" t="s">
        <v>1352</v>
      </c>
      <c r="E196" s="200" t="s">
        <v>1349</v>
      </c>
      <c r="F196" s="187" t="s">
        <v>1350</v>
      </c>
      <c r="G196" s="187" t="s">
        <v>1351</v>
      </c>
      <c r="H196" s="188">
        <f>(1609757)/1000*$H$5</f>
        <v>1609.7570000000001</v>
      </c>
      <c r="I196" s="188">
        <f t="shared" si="6"/>
        <v>1609.7570000000001</v>
      </c>
      <c r="J196" s="204">
        <v>16450686</v>
      </c>
      <c r="K196" s="224"/>
    </row>
    <row r="197" spans="1:12" ht="120" x14ac:dyDescent="0.2">
      <c r="A197" s="56" t="s">
        <v>1356</v>
      </c>
      <c r="B197" s="206" t="s">
        <v>1334</v>
      </c>
      <c r="C197" s="583"/>
      <c r="D197" s="60"/>
      <c r="E197" s="200" t="s">
        <v>1355</v>
      </c>
      <c r="F197" s="187" t="s">
        <v>1353</v>
      </c>
      <c r="G197" s="187" t="s">
        <v>1354</v>
      </c>
      <c r="H197" s="188">
        <f>(8690819)/1000*$H$5</f>
        <v>8690.8189999999995</v>
      </c>
      <c r="I197" s="188">
        <f t="shared" si="6"/>
        <v>8690.8189999999995</v>
      </c>
      <c r="J197" s="209"/>
      <c r="K197" s="224"/>
    </row>
    <row r="198" spans="1:12" ht="60.75" customHeight="1" x14ac:dyDescent="0.2">
      <c r="A198" s="56" t="s">
        <v>1357</v>
      </c>
      <c r="B198" s="206" t="s">
        <v>1360</v>
      </c>
      <c r="C198" s="583"/>
      <c r="D198" s="176" t="s">
        <v>1358</v>
      </c>
      <c r="E198" s="200" t="s">
        <v>1361</v>
      </c>
      <c r="F198" s="187" t="s">
        <v>1359</v>
      </c>
      <c r="G198" s="187" t="s">
        <v>1362</v>
      </c>
      <c r="H198" s="188">
        <f>(29699509)/1000*$H$5</f>
        <v>29699.508999999998</v>
      </c>
      <c r="I198" s="188">
        <f t="shared" si="6"/>
        <v>29699.508999999998</v>
      </c>
      <c r="J198" s="209"/>
      <c r="K198" s="224"/>
    </row>
    <row r="199" spans="1:12" ht="56.25" customHeight="1" x14ac:dyDescent="0.2">
      <c r="A199" s="75" t="s">
        <v>1366</v>
      </c>
      <c r="B199" s="206" t="s">
        <v>1368</v>
      </c>
      <c r="C199" s="584"/>
      <c r="D199" s="176" t="s">
        <v>1363</v>
      </c>
      <c r="E199" s="200" t="s">
        <v>1369</v>
      </c>
      <c r="F199" s="187" t="s">
        <v>1364</v>
      </c>
      <c r="G199" s="187" t="s">
        <v>1365</v>
      </c>
      <c r="H199" s="188">
        <f>(15929910)/1000*$H$5</f>
        <v>15929.91</v>
      </c>
      <c r="I199" s="188">
        <f t="shared" si="6"/>
        <v>15929.91</v>
      </c>
      <c r="K199" s="224"/>
      <c r="L199" s="60" t="s">
        <v>612</v>
      </c>
    </row>
    <row r="200" spans="1:12" ht="27" customHeight="1" x14ac:dyDescent="0.2">
      <c r="A200" s="56" t="s">
        <v>762</v>
      </c>
      <c r="B200" s="207" t="s">
        <v>787</v>
      </c>
      <c r="C200" s="582" t="s">
        <v>1370</v>
      </c>
      <c r="D200" s="182"/>
      <c r="E200" s="198"/>
      <c r="F200" s="201"/>
      <c r="G200" s="201"/>
      <c r="H200" s="196">
        <f>(0)/1000*$H$5</f>
        <v>0</v>
      </c>
      <c r="I200" s="196">
        <f t="shared" ref="I200:I205" si="7">H200-(0)/1000*$H$5</f>
        <v>0</v>
      </c>
      <c r="J200" s="203"/>
      <c r="K200" s="231"/>
    </row>
    <row r="201" spans="1:12" ht="60" x14ac:dyDescent="0.2">
      <c r="A201" s="56" t="s">
        <v>1371</v>
      </c>
      <c r="B201" s="206" t="s">
        <v>788</v>
      </c>
      <c r="C201" s="583"/>
      <c r="D201" s="176" t="s">
        <v>452</v>
      </c>
      <c r="E201" s="200" t="s">
        <v>1375</v>
      </c>
      <c r="F201" s="187" t="s">
        <v>176</v>
      </c>
      <c r="G201" s="187" t="s">
        <v>48</v>
      </c>
      <c r="H201" s="188">
        <f>(6900000+4477636)/1000*$H$5</f>
        <v>11377.636</v>
      </c>
      <c r="I201" s="188">
        <f t="shared" si="7"/>
        <v>11377.636</v>
      </c>
      <c r="J201" s="204" t="s">
        <v>451</v>
      </c>
      <c r="K201" s="59"/>
      <c r="L201" s="248" t="s">
        <v>452</v>
      </c>
    </row>
    <row r="202" spans="1:12" ht="193.5" customHeight="1" x14ac:dyDescent="0.2">
      <c r="A202" s="56" t="s">
        <v>1372</v>
      </c>
      <c r="B202" s="206" t="s">
        <v>453</v>
      </c>
      <c r="C202" s="583"/>
      <c r="D202" s="176" t="s">
        <v>456</v>
      </c>
      <c r="E202" s="200" t="s">
        <v>1377</v>
      </c>
      <c r="F202" s="187" t="s">
        <v>176</v>
      </c>
      <c r="G202" s="187" t="s">
        <v>181</v>
      </c>
      <c r="H202" s="188">
        <f>(11864407)/1000*$H$5</f>
        <v>11864.406999999999</v>
      </c>
      <c r="I202" s="188">
        <f t="shared" si="7"/>
        <v>11864.406999999999</v>
      </c>
      <c r="J202" s="204" t="s">
        <v>538</v>
      </c>
      <c r="K202" s="59"/>
      <c r="L202" s="60" t="s">
        <v>456</v>
      </c>
    </row>
    <row r="203" spans="1:12" ht="63.75" customHeight="1" x14ac:dyDescent="0.2">
      <c r="A203" s="56" t="s">
        <v>1373</v>
      </c>
      <c r="B203" s="206" t="s">
        <v>457</v>
      </c>
      <c r="C203" s="583"/>
      <c r="D203" s="176" t="s">
        <v>460</v>
      </c>
      <c r="E203" s="200" t="s">
        <v>1376</v>
      </c>
      <c r="F203" s="187" t="s">
        <v>295</v>
      </c>
      <c r="G203" s="189" t="s">
        <v>48</v>
      </c>
      <c r="H203" s="188">
        <f>(2633979.11)/1000*$H$5</f>
        <v>2633.9791099999998</v>
      </c>
      <c r="I203" s="188">
        <f t="shared" si="7"/>
        <v>2633.9791099999998</v>
      </c>
      <c r="J203" s="204" t="s">
        <v>466</v>
      </c>
      <c r="K203" s="59"/>
      <c r="L203" s="60" t="s">
        <v>460</v>
      </c>
    </row>
    <row r="204" spans="1:12" ht="60" x14ac:dyDescent="0.2">
      <c r="A204" s="56" t="s">
        <v>1374</v>
      </c>
      <c r="B204" s="206" t="s">
        <v>1378</v>
      </c>
      <c r="C204" s="583"/>
      <c r="D204" s="176" t="s">
        <v>459</v>
      </c>
      <c r="E204" s="200" t="s">
        <v>1379</v>
      </c>
      <c r="F204" s="187" t="s">
        <v>410</v>
      </c>
      <c r="G204" s="189" t="s">
        <v>13</v>
      </c>
      <c r="H204" s="188">
        <f>(2058211.12)/1000*$H$5</f>
        <v>2058.2111199999999</v>
      </c>
      <c r="I204" s="188">
        <f t="shared" si="7"/>
        <v>2058.2111199999999</v>
      </c>
      <c r="J204" s="204" t="s">
        <v>539</v>
      </c>
      <c r="K204" s="59"/>
      <c r="L204" s="60" t="s">
        <v>459</v>
      </c>
    </row>
    <row r="205" spans="1:12" ht="108" x14ac:dyDescent="0.2">
      <c r="A205" s="56" t="s">
        <v>1380</v>
      </c>
      <c r="B205" s="206" t="s">
        <v>1381</v>
      </c>
      <c r="C205" s="583"/>
      <c r="D205" s="176" t="s">
        <v>465</v>
      </c>
      <c r="E205" s="200" t="s">
        <v>1382</v>
      </c>
      <c r="F205" s="187" t="s">
        <v>126</v>
      </c>
      <c r="G205" s="189" t="s">
        <v>410</v>
      </c>
      <c r="H205" s="188">
        <f>(2038983)/1000*$H$5</f>
        <v>2038.9829999999999</v>
      </c>
      <c r="I205" s="188">
        <f t="shared" si="7"/>
        <v>2038.9829999999999</v>
      </c>
      <c r="J205" s="204" t="s">
        <v>462</v>
      </c>
      <c r="K205" s="59"/>
      <c r="L205" s="60" t="s">
        <v>465</v>
      </c>
    </row>
    <row r="206" spans="1:12" ht="36" x14ac:dyDescent="0.2">
      <c r="A206" s="56" t="s">
        <v>1384</v>
      </c>
      <c r="B206" s="206" t="s">
        <v>1383</v>
      </c>
      <c r="C206" s="583"/>
      <c r="D206" s="176" t="s">
        <v>468</v>
      </c>
      <c r="E206" s="200" t="s">
        <v>464</v>
      </c>
      <c r="F206" s="187" t="s">
        <v>8</v>
      </c>
      <c r="G206" s="189" t="s">
        <v>14</v>
      </c>
      <c r="H206" s="188">
        <f>(130768063)/1000*$H$5</f>
        <v>130768.06299999999</v>
      </c>
      <c r="I206" s="188">
        <f>H206-(25018370+1469829+12347573)/1000*$H$5</f>
        <v>91932.290999999997</v>
      </c>
      <c r="J206" s="204" t="s">
        <v>467</v>
      </c>
      <c r="K206" s="59"/>
      <c r="L206" s="60" t="s">
        <v>468</v>
      </c>
    </row>
    <row r="207" spans="1:12" ht="108" x14ac:dyDescent="0.2">
      <c r="A207" s="56" t="s">
        <v>1386</v>
      </c>
      <c r="B207" s="206" t="s">
        <v>469</v>
      </c>
      <c r="C207" s="583"/>
      <c r="D207" s="176" t="s">
        <v>471</v>
      </c>
      <c r="E207" s="200" t="s">
        <v>1385</v>
      </c>
      <c r="F207" s="187" t="s">
        <v>179</v>
      </c>
      <c r="G207" s="187" t="s">
        <v>7</v>
      </c>
      <c r="H207" s="188">
        <f>(5544496)/1000*$H$5</f>
        <v>5544.4960000000001</v>
      </c>
      <c r="I207" s="188">
        <f>H207-(0)/1000*$H$5</f>
        <v>5544.4960000000001</v>
      </c>
      <c r="J207" s="204" t="s">
        <v>470</v>
      </c>
      <c r="K207" s="59"/>
      <c r="L207" s="60" t="s">
        <v>471</v>
      </c>
    </row>
    <row r="208" spans="1:12" ht="84" x14ac:dyDescent="0.2">
      <c r="A208" s="56" t="s">
        <v>1387</v>
      </c>
      <c r="B208" s="206" t="s">
        <v>1390</v>
      </c>
      <c r="C208" s="583"/>
      <c r="D208" s="176" t="s">
        <v>473</v>
      </c>
      <c r="E208" s="200" t="s">
        <v>1391</v>
      </c>
      <c r="F208" s="187" t="s">
        <v>78</v>
      </c>
      <c r="G208" s="187" t="s">
        <v>78</v>
      </c>
      <c r="H208" s="188">
        <f>(829818)/1000*$H$5</f>
        <v>829.81799999999998</v>
      </c>
      <c r="I208" s="188">
        <f>H208-(0)/1000*$H$5</f>
        <v>829.81799999999998</v>
      </c>
      <c r="J208" s="204" t="s">
        <v>475</v>
      </c>
      <c r="K208" s="59"/>
      <c r="L208" s="60" t="s">
        <v>473</v>
      </c>
    </row>
    <row r="209" spans="1:12" ht="100.5" customHeight="1" x14ac:dyDescent="0.2">
      <c r="A209" s="56" t="s">
        <v>1388</v>
      </c>
      <c r="B209" s="206" t="s">
        <v>474</v>
      </c>
      <c r="C209" s="583"/>
      <c r="D209" s="176" t="s">
        <v>477</v>
      </c>
      <c r="E209" s="200" t="s">
        <v>1436</v>
      </c>
      <c r="F209" s="187" t="s">
        <v>124</v>
      </c>
      <c r="G209" s="187" t="s">
        <v>14</v>
      </c>
      <c r="H209" s="188">
        <f>(100377169)/1000*$H$5</f>
        <v>100377.16899999999</v>
      </c>
      <c r="I209" s="188">
        <f>H209-(25100604.84)/1000*$H$5</f>
        <v>75276.564159999994</v>
      </c>
      <c r="J209" s="204" t="s">
        <v>476</v>
      </c>
      <c r="K209" s="59"/>
      <c r="L209" s="60" t="s">
        <v>477</v>
      </c>
    </row>
    <row r="210" spans="1:12" ht="96" x14ac:dyDescent="0.2">
      <c r="A210" s="56" t="s">
        <v>1389</v>
      </c>
      <c r="B210" s="206" t="s">
        <v>1393</v>
      </c>
      <c r="C210" s="583"/>
      <c r="D210" s="176" t="s">
        <v>480</v>
      </c>
      <c r="E210" s="200" t="s">
        <v>1392</v>
      </c>
      <c r="F210" s="187" t="s">
        <v>4</v>
      </c>
      <c r="G210" s="187" t="s">
        <v>24</v>
      </c>
      <c r="H210" s="188">
        <f>(22587631)/1000*$H$5</f>
        <v>22587.631000000001</v>
      </c>
      <c r="I210" s="188">
        <f>H210-(0)/1000*$H$5</f>
        <v>22587.631000000001</v>
      </c>
      <c r="J210" s="204" t="s">
        <v>479</v>
      </c>
      <c r="K210" s="59"/>
      <c r="L210" s="60" t="s">
        <v>480</v>
      </c>
    </row>
    <row r="211" spans="1:12" ht="36" x14ac:dyDescent="0.2">
      <c r="A211" s="56" t="s">
        <v>1395</v>
      </c>
      <c r="B211" s="206" t="s">
        <v>481</v>
      </c>
      <c r="C211" s="583"/>
      <c r="D211" s="176" t="s">
        <v>483</v>
      </c>
      <c r="E211" s="200" t="s">
        <v>1394</v>
      </c>
      <c r="F211" s="187" t="s">
        <v>427</v>
      </c>
      <c r="G211" s="187" t="s">
        <v>84</v>
      </c>
      <c r="H211" s="188">
        <f>(24378308.18)/1000*$H$5</f>
        <v>24378.30818</v>
      </c>
      <c r="I211" s="188">
        <f>H211-(3669923.61)/1000*$H$5</f>
        <v>20708.384570000002</v>
      </c>
      <c r="J211" s="204" t="s">
        <v>482</v>
      </c>
      <c r="K211" s="59"/>
      <c r="L211" s="60" t="s">
        <v>483</v>
      </c>
    </row>
    <row r="212" spans="1:12" ht="84" x14ac:dyDescent="0.2">
      <c r="A212" s="56" t="s">
        <v>1396</v>
      </c>
      <c r="B212" s="206" t="s">
        <v>484</v>
      </c>
      <c r="C212" s="583"/>
      <c r="D212" s="176" t="s">
        <v>486</v>
      </c>
      <c r="E212" s="200" t="s">
        <v>1437</v>
      </c>
      <c r="F212" s="187" t="s">
        <v>427</v>
      </c>
      <c r="G212" s="189" t="s">
        <v>230</v>
      </c>
      <c r="H212" s="188">
        <f>(18119912)/1000*$H$5</f>
        <v>18119.912</v>
      </c>
      <c r="I212" s="188">
        <f>H212-(0)/1000*$H$5</f>
        <v>18119.912</v>
      </c>
      <c r="J212" s="204" t="s">
        <v>487</v>
      </c>
      <c r="K212" s="59"/>
      <c r="L212" s="60" t="s">
        <v>486</v>
      </c>
    </row>
    <row r="213" spans="1:12" ht="72" x14ac:dyDescent="0.2">
      <c r="A213" s="56" t="s">
        <v>1397</v>
      </c>
      <c r="B213" s="206" t="s">
        <v>484</v>
      </c>
      <c r="C213" s="583"/>
      <c r="D213" s="176" t="s">
        <v>490</v>
      </c>
      <c r="E213" s="200" t="s">
        <v>1403</v>
      </c>
      <c r="F213" s="187" t="s">
        <v>427</v>
      </c>
      <c r="G213" s="187" t="s">
        <v>488</v>
      </c>
      <c r="H213" s="188">
        <f>(50693441.39)/1000*$H$5</f>
        <v>50693.44139</v>
      </c>
      <c r="I213" s="188">
        <f>H213-(7118161)/1000*$H$5</f>
        <v>43575.28039</v>
      </c>
      <c r="J213" s="204" t="s">
        <v>489</v>
      </c>
      <c r="K213" s="59"/>
      <c r="L213" s="60" t="s">
        <v>490</v>
      </c>
    </row>
    <row r="214" spans="1:12" ht="108" x14ac:dyDescent="0.2">
      <c r="A214" s="56" t="s">
        <v>1398</v>
      </c>
      <c r="B214" s="206" t="s">
        <v>1404</v>
      </c>
      <c r="C214" s="583"/>
      <c r="D214" s="176" t="s">
        <v>493</v>
      </c>
      <c r="E214" s="200" t="s">
        <v>1405</v>
      </c>
      <c r="F214" s="187" t="s">
        <v>230</v>
      </c>
      <c r="G214" s="189" t="s">
        <v>7</v>
      </c>
      <c r="H214" s="188">
        <f>(1289255)/1000*$H$5</f>
        <v>1289.2550000000001</v>
      </c>
      <c r="I214" s="188">
        <f>H214-(0)/1000*$H$5</f>
        <v>1289.2550000000001</v>
      </c>
      <c r="J214" s="204" t="s">
        <v>492</v>
      </c>
      <c r="K214" s="59"/>
      <c r="L214" s="60" t="s">
        <v>493</v>
      </c>
    </row>
    <row r="215" spans="1:12" ht="48" x14ac:dyDescent="0.2">
      <c r="A215" s="56" t="s">
        <v>1399</v>
      </c>
      <c r="B215" s="206" t="s">
        <v>1406</v>
      </c>
      <c r="C215" s="583"/>
      <c r="D215" s="176" t="s">
        <v>494</v>
      </c>
      <c r="E215" s="200" t="s">
        <v>1407</v>
      </c>
      <c r="F215" s="187" t="s">
        <v>230</v>
      </c>
      <c r="G215" s="189" t="s">
        <v>7</v>
      </c>
      <c r="H215" s="188">
        <f>(998697)/1000*$H$5</f>
        <v>998.697</v>
      </c>
      <c r="I215" s="188">
        <f>H215-(0)/1000*$H$5</f>
        <v>998.697</v>
      </c>
      <c r="J215" s="204" t="s">
        <v>540</v>
      </c>
      <c r="K215" s="59"/>
      <c r="L215" s="60" t="s">
        <v>494</v>
      </c>
    </row>
    <row r="216" spans="1:12" ht="84" x14ac:dyDescent="0.2">
      <c r="A216" s="56" t="s">
        <v>1400</v>
      </c>
      <c r="B216" s="206" t="s">
        <v>497</v>
      </c>
      <c r="C216" s="583"/>
      <c r="D216" s="176" t="s">
        <v>496</v>
      </c>
      <c r="E216" s="200" t="s">
        <v>1408</v>
      </c>
      <c r="F216" s="187" t="s">
        <v>499</v>
      </c>
      <c r="G216" s="189" t="s">
        <v>500</v>
      </c>
      <c r="H216" s="188">
        <f>(4308132)/1000*$H$5</f>
        <v>4308.1319999999996</v>
      </c>
      <c r="I216" s="188">
        <f>H216-(1306408)/1000*$H$5</f>
        <v>3001.7239999999997</v>
      </c>
      <c r="J216" s="204" t="s">
        <v>498</v>
      </c>
      <c r="K216" s="59"/>
      <c r="L216" s="60" t="s">
        <v>496</v>
      </c>
    </row>
    <row r="217" spans="1:12" ht="84" x14ac:dyDescent="0.2">
      <c r="A217" s="56" t="s">
        <v>1401</v>
      </c>
      <c r="B217" s="206" t="s">
        <v>1409</v>
      </c>
      <c r="C217" s="583"/>
      <c r="D217" s="176" t="s">
        <v>503</v>
      </c>
      <c r="E217" s="200" t="s">
        <v>1410</v>
      </c>
      <c r="F217" s="187" t="s">
        <v>132</v>
      </c>
      <c r="G217" s="189" t="s">
        <v>9</v>
      </c>
      <c r="H217" s="188">
        <f>(12401096)/1000*$H$5</f>
        <v>12401.096</v>
      </c>
      <c r="I217" s="188">
        <f t="shared" ref="I217:I241" si="8">H217-(0)/1000*$H$5</f>
        <v>12401.096</v>
      </c>
      <c r="J217" s="204" t="s">
        <v>502</v>
      </c>
      <c r="K217" s="59"/>
      <c r="L217" s="60" t="s">
        <v>503</v>
      </c>
    </row>
    <row r="218" spans="1:12" ht="72" x14ac:dyDescent="0.2">
      <c r="A218" s="56" t="s">
        <v>1402</v>
      </c>
      <c r="B218" s="206" t="s">
        <v>509</v>
      </c>
      <c r="C218" s="583"/>
      <c r="D218" s="176" t="s">
        <v>504</v>
      </c>
      <c r="E218" s="200" t="s">
        <v>1416</v>
      </c>
      <c r="F218" s="187" t="s">
        <v>7</v>
      </c>
      <c r="G218" s="187" t="s">
        <v>93</v>
      </c>
      <c r="H218" s="188">
        <f>(1022700)/1000*$H$5</f>
        <v>1022.7</v>
      </c>
      <c r="I218" s="188">
        <f t="shared" si="8"/>
        <v>1022.7</v>
      </c>
      <c r="J218" s="204" t="s">
        <v>505</v>
      </c>
      <c r="K218" s="59"/>
      <c r="L218" s="60" t="s">
        <v>504</v>
      </c>
    </row>
    <row r="219" spans="1:12" ht="84" x14ac:dyDescent="0.2">
      <c r="A219" s="56" t="s">
        <v>1411</v>
      </c>
      <c r="B219" s="206" t="s">
        <v>509</v>
      </c>
      <c r="C219" s="583"/>
      <c r="D219" s="176" t="s">
        <v>506</v>
      </c>
      <c r="E219" s="200" t="s">
        <v>1417</v>
      </c>
      <c r="F219" s="187" t="s">
        <v>508</v>
      </c>
      <c r="G219" s="187" t="s">
        <v>86</v>
      </c>
      <c r="H219" s="188">
        <f>(8552344)/1000*$H$5</f>
        <v>8552.3439999999991</v>
      </c>
      <c r="I219" s="188">
        <f t="shared" si="8"/>
        <v>8552.3439999999991</v>
      </c>
      <c r="J219" s="204" t="s">
        <v>507</v>
      </c>
      <c r="K219" s="59"/>
      <c r="L219" s="60" t="s">
        <v>506</v>
      </c>
    </row>
    <row r="220" spans="1:12" ht="96" x14ac:dyDescent="0.2">
      <c r="A220" s="56" t="s">
        <v>1412</v>
      </c>
      <c r="B220" s="206" t="s">
        <v>1418</v>
      </c>
      <c r="C220" s="583"/>
      <c r="D220" s="176" t="s">
        <v>510</v>
      </c>
      <c r="E220" s="200" t="s">
        <v>1419</v>
      </c>
      <c r="F220" s="187" t="s">
        <v>86</v>
      </c>
      <c r="G220" s="187" t="s">
        <v>511</v>
      </c>
      <c r="H220" s="188">
        <f>(1554362)/1000*$H$5</f>
        <v>1554.3620000000001</v>
      </c>
      <c r="I220" s="188">
        <f t="shared" si="8"/>
        <v>1554.3620000000001</v>
      </c>
      <c r="J220" s="204" t="s">
        <v>512</v>
      </c>
      <c r="K220" s="59"/>
      <c r="L220" s="60" t="s">
        <v>510</v>
      </c>
    </row>
    <row r="221" spans="1:12" ht="48" x14ac:dyDescent="0.2">
      <c r="A221" s="56" t="s">
        <v>1413</v>
      </c>
      <c r="B221" s="206" t="s">
        <v>1420</v>
      </c>
      <c r="C221" s="583"/>
      <c r="D221" s="176" t="s">
        <v>513</v>
      </c>
      <c r="E221" s="200" t="s">
        <v>515</v>
      </c>
      <c r="F221" s="187" t="s">
        <v>511</v>
      </c>
      <c r="G221" s="187" t="s">
        <v>95</v>
      </c>
      <c r="H221" s="188">
        <f>(5110000)/1000*$H$5</f>
        <v>5110</v>
      </c>
      <c r="I221" s="188">
        <f t="shared" si="8"/>
        <v>5110</v>
      </c>
      <c r="J221" s="204" t="s">
        <v>515</v>
      </c>
      <c r="K221" s="59"/>
      <c r="L221" s="60" t="s">
        <v>513</v>
      </c>
    </row>
    <row r="222" spans="1:12" ht="72" x14ac:dyDescent="0.2">
      <c r="A222" s="56" t="s">
        <v>1414</v>
      </c>
      <c r="B222" s="206" t="s">
        <v>1421</v>
      </c>
      <c r="C222" s="583"/>
      <c r="D222" s="176" t="s">
        <v>516</v>
      </c>
      <c r="E222" s="200" t="s">
        <v>1438</v>
      </c>
      <c r="F222" s="187" t="s">
        <v>58</v>
      </c>
      <c r="G222" s="187" t="s">
        <v>58</v>
      </c>
      <c r="H222" s="188">
        <f>(3205702)/1000*$H$5</f>
        <v>3205.7020000000002</v>
      </c>
      <c r="I222" s="188">
        <f t="shared" si="8"/>
        <v>3205.7020000000002</v>
      </c>
      <c r="J222" s="204" t="s">
        <v>482</v>
      </c>
      <c r="K222" s="59"/>
      <c r="L222" s="60" t="s">
        <v>516</v>
      </c>
    </row>
    <row r="223" spans="1:12" ht="84" x14ac:dyDescent="0.2">
      <c r="A223" s="56" t="s">
        <v>1415</v>
      </c>
      <c r="B223" s="206" t="s">
        <v>542</v>
      </c>
      <c r="C223" s="583"/>
      <c r="D223" s="176" t="s">
        <v>522</v>
      </c>
      <c r="E223" s="200" t="s">
        <v>1439</v>
      </c>
      <c r="F223" s="187" t="s">
        <v>91</v>
      </c>
      <c r="G223" s="189" t="s">
        <v>139</v>
      </c>
      <c r="H223" s="188">
        <f>(9056742)/1000*$H$5</f>
        <v>9056.7420000000002</v>
      </c>
      <c r="I223" s="188">
        <f t="shared" si="8"/>
        <v>9056.7420000000002</v>
      </c>
      <c r="J223" s="204" t="s">
        <v>521</v>
      </c>
      <c r="K223" s="59"/>
      <c r="L223" s="60" t="s">
        <v>518</v>
      </c>
    </row>
    <row r="224" spans="1:12" ht="156" x14ac:dyDescent="0.2">
      <c r="A224" s="56" t="s">
        <v>1423</v>
      </c>
      <c r="B224" s="206" t="s">
        <v>542</v>
      </c>
      <c r="C224" s="583"/>
      <c r="D224" s="176" t="s">
        <v>520</v>
      </c>
      <c r="E224" s="200" t="s">
        <v>1422</v>
      </c>
      <c r="F224" s="187" t="s">
        <v>211</v>
      </c>
      <c r="G224" s="189" t="s">
        <v>519</v>
      </c>
      <c r="H224" s="188">
        <f>(5120965)/1000*$H$5</f>
        <v>5120.9650000000001</v>
      </c>
      <c r="I224" s="188">
        <f>H224-(0)/1000*$H$5</f>
        <v>5120.9650000000001</v>
      </c>
      <c r="J224" s="204" t="s">
        <v>790</v>
      </c>
      <c r="K224" s="59"/>
      <c r="L224" s="60" t="s">
        <v>522</v>
      </c>
    </row>
    <row r="225" spans="1:12" ht="84" x14ac:dyDescent="0.2">
      <c r="A225" s="56" t="s">
        <v>1424</v>
      </c>
      <c r="B225" s="206" t="s">
        <v>1427</v>
      </c>
      <c r="C225" s="583"/>
      <c r="D225" s="176" t="s">
        <v>524</v>
      </c>
      <c r="E225" s="200" t="s">
        <v>1428</v>
      </c>
      <c r="F225" s="187" t="s">
        <v>101</v>
      </c>
      <c r="G225" s="189" t="s">
        <v>141</v>
      </c>
      <c r="H225" s="188">
        <f>(3928184)/1000*$H$5</f>
        <v>3928.1840000000002</v>
      </c>
      <c r="I225" s="188">
        <f>H225-(0)/1000*$H$5</f>
        <v>3928.1840000000002</v>
      </c>
      <c r="J225" s="204"/>
      <c r="K225" s="59"/>
      <c r="L225" s="60" t="s">
        <v>520</v>
      </c>
    </row>
    <row r="226" spans="1:12" ht="84" x14ac:dyDescent="0.2">
      <c r="A226" s="56" t="s">
        <v>1425</v>
      </c>
      <c r="B226" s="206" t="s">
        <v>526</v>
      </c>
      <c r="C226" s="583"/>
      <c r="D226" s="176" t="s">
        <v>527</v>
      </c>
      <c r="E226" s="200" t="s">
        <v>1429</v>
      </c>
      <c r="F226" s="187" t="s">
        <v>104</v>
      </c>
      <c r="G226" s="189" t="s">
        <v>20</v>
      </c>
      <c r="H226" s="188">
        <f>(1807561)/1000*$H$5</f>
        <v>1807.5609999999999</v>
      </c>
      <c r="I226" s="188">
        <f t="shared" si="8"/>
        <v>1807.5609999999999</v>
      </c>
      <c r="J226" s="204" t="s">
        <v>422</v>
      </c>
      <c r="K226" s="59"/>
      <c r="L226" s="60" t="s">
        <v>527</v>
      </c>
    </row>
    <row r="227" spans="1:12" ht="132" x14ac:dyDescent="0.2">
      <c r="A227" s="56" t="s">
        <v>1426</v>
      </c>
      <c r="B227" s="206" t="s">
        <v>529</v>
      </c>
      <c r="C227" s="583"/>
      <c r="D227" s="176" t="s">
        <v>532</v>
      </c>
      <c r="E227" s="200" t="s">
        <v>1430</v>
      </c>
      <c r="F227" s="187" t="s">
        <v>107</v>
      </c>
      <c r="G227" s="189" t="s">
        <v>531</v>
      </c>
      <c r="H227" s="188">
        <f>(3056511)/1000*$H$5</f>
        <v>3056.511</v>
      </c>
      <c r="I227" s="188">
        <f t="shared" si="8"/>
        <v>3056.511</v>
      </c>
      <c r="J227" s="204" t="s">
        <v>530</v>
      </c>
      <c r="K227" s="59"/>
      <c r="L227" s="60" t="s">
        <v>532</v>
      </c>
    </row>
    <row r="228" spans="1:12" ht="84" x14ac:dyDescent="0.2">
      <c r="A228" s="75" t="s">
        <v>1433</v>
      </c>
      <c r="B228" s="206" t="s">
        <v>1431</v>
      </c>
      <c r="C228" s="584"/>
      <c r="D228" s="176" t="s">
        <v>533</v>
      </c>
      <c r="E228" s="200" t="s">
        <v>1432</v>
      </c>
      <c r="F228" s="187" t="s">
        <v>107</v>
      </c>
      <c r="G228" s="189" t="s">
        <v>17</v>
      </c>
      <c r="H228" s="193">
        <f>(6230000)/1000*$H$5</f>
        <v>6230</v>
      </c>
      <c r="I228" s="193">
        <f t="shared" si="8"/>
        <v>6230</v>
      </c>
      <c r="J228" s="204" t="s">
        <v>535</v>
      </c>
      <c r="K228" s="59"/>
      <c r="L228" s="60" t="s">
        <v>533</v>
      </c>
    </row>
    <row r="229" spans="1:12" ht="96" x14ac:dyDescent="0.2">
      <c r="A229" s="75" t="s">
        <v>1434</v>
      </c>
      <c r="B229" s="4" t="s">
        <v>1440</v>
      </c>
      <c r="C229" s="131" t="s">
        <v>1441</v>
      </c>
      <c r="D229" s="183" t="s">
        <v>628</v>
      </c>
      <c r="E229" s="131" t="s">
        <v>1442</v>
      </c>
      <c r="F229" s="77" t="s">
        <v>86</v>
      </c>
      <c r="G229" s="77" t="s">
        <v>91</v>
      </c>
      <c r="H229" s="193">
        <f>(2720619)/1000*$H$5</f>
        <v>2720.6190000000001</v>
      </c>
      <c r="I229" s="193">
        <f t="shared" si="8"/>
        <v>2720.6190000000001</v>
      </c>
      <c r="J229" s="66" t="s">
        <v>793</v>
      </c>
      <c r="K229" s="78"/>
      <c r="L229" s="60" t="s">
        <v>628</v>
      </c>
    </row>
    <row r="230" spans="1:12" ht="120" x14ac:dyDescent="0.2">
      <c r="A230" s="75" t="s">
        <v>1435</v>
      </c>
      <c r="B230" s="207" t="s">
        <v>635</v>
      </c>
      <c r="C230" s="131" t="s">
        <v>1444</v>
      </c>
      <c r="D230" s="183"/>
      <c r="E230" s="131" t="s">
        <v>1443</v>
      </c>
      <c r="F230" s="77" t="s">
        <v>22</v>
      </c>
      <c r="G230" s="77" t="s">
        <v>18</v>
      </c>
      <c r="H230" s="193">
        <f>(6361573.23)/1000*$H$5</f>
        <v>6361.5732300000009</v>
      </c>
      <c r="I230" s="193">
        <f t="shared" si="8"/>
        <v>6361.5732300000009</v>
      </c>
      <c r="J230" s="66" t="s">
        <v>639</v>
      </c>
      <c r="K230" s="78"/>
    </row>
    <row r="231" spans="1:12" ht="84" x14ac:dyDescent="0.2">
      <c r="A231" s="75" t="s">
        <v>1445</v>
      </c>
      <c r="B231" s="207" t="s">
        <v>1446</v>
      </c>
      <c r="C231" s="131" t="s">
        <v>1447</v>
      </c>
      <c r="D231" s="183" t="s">
        <v>618</v>
      </c>
      <c r="E231" s="131" t="s">
        <v>1448</v>
      </c>
      <c r="F231" s="77" t="s">
        <v>93</v>
      </c>
      <c r="G231" s="77" t="s">
        <v>9</v>
      </c>
      <c r="H231" s="193">
        <f>(5002224)/1000*$H$5</f>
        <v>5002.2240000000002</v>
      </c>
      <c r="I231" s="193">
        <f t="shared" si="8"/>
        <v>5002.2240000000002</v>
      </c>
      <c r="J231" s="66" t="s">
        <v>617</v>
      </c>
      <c r="K231" s="78"/>
      <c r="L231" s="60" t="s">
        <v>618</v>
      </c>
    </row>
    <row r="232" spans="1:12" ht="60" customHeight="1" x14ac:dyDescent="0.2">
      <c r="A232" s="56" t="s">
        <v>1451</v>
      </c>
      <c r="B232" s="607" t="s">
        <v>794</v>
      </c>
      <c r="C232" s="607" t="s">
        <v>1453</v>
      </c>
      <c r="D232" s="183" t="s">
        <v>1449</v>
      </c>
      <c r="E232" s="131" t="s">
        <v>1454</v>
      </c>
      <c r="F232" s="77" t="s">
        <v>177</v>
      </c>
      <c r="G232" s="77" t="s">
        <v>179</v>
      </c>
      <c r="H232" s="193">
        <f>(6175000)/1000*$H$5</f>
        <v>6175</v>
      </c>
      <c r="I232" s="193">
        <f t="shared" si="8"/>
        <v>6175</v>
      </c>
      <c r="J232" s="66" t="s">
        <v>549</v>
      </c>
      <c r="K232" s="78"/>
      <c r="L232" s="248" t="s">
        <v>550</v>
      </c>
    </row>
    <row r="233" spans="1:12" ht="72" x14ac:dyDescent="0.2">
      <c r="A233" s="56" t="s">
        <v>1452</v>
      </c>
      <c r="B233" s="628"/>
      <c r="C233" s="628"/>
      <c r="D233" s="183" t="s">
        <v>1450</v>
      </c>
      <c r="E233" s="131" t="s">
        <v>1455</v>
      </c>
      <c r="F233" s="77" t="s">
        <v>177</v>
      </c>
      <c r="G233" s="77" t="s">
        <v>8</v>
      </c>
      <c r="H233" s="193">
        <f>(2850000)/1000*$H$5</f>
        <v>2850</v>
      </c>
      <c r="I233" s="193">
        <f>H233-(0)/1000*$H$5</f>
        <v>2850</v>
      </c>
      <c r="J233" s="66"/>
      <c r="K233" s="78"/>
      <c r="L233" s="248"/>
    </row>
    <row r="234" spans="1:12" ht="96" x14ac:dyDescent="0.2">
      <c r="A234" s="56" t="s">
        <v>1458</v>
      </c>
      <c r="B234" s="270" t="s">
        <v>798</v>
      </c>
      <c r="C234" s="131" t="s">
        <v>1456</v>
      </c>
      <c r="D234" s="183" t="s">
        <v>1038</v>
      </c>
      <c r="E234" s="131" t="s">
        <v>1457</v>
      </c>
      <c r="F234" s="77" t="s">
        <v>410</v>
      </c>
      <c r="G234" s="77" t="s">
        <v>127</v>
      </c>
      <c r="H234" s="193">
        <f>(2130356+1597705)/1000*$H$5</f>
        <v>3728.0610000000001</v>
      </c>
      <c r="I234" s="193">
        <f t="shared" si="8"/>
        <v>3728.0610000000001</v>
      </c>
      <c r="J234" s="66" t="s">
        <v>553</v>
      </c>
      <c r="K234" s="78"/>
    </row>
    <row r="235" spans="1:12" ht="72" x14ac:dyDescent="0.2">
      <c r="A235" s="56" t="s">
        <v>1459</v>
      </c>
      <c r="B235" s="271"/>
      <c r="C235" s="626" t="s">
        <v>554</v>
      </c>
      <c r="D235" s="272" t="s">
        <v>1460</v>
      </c>
      <c r="E235" s="246" t="s">
        <v>1475</v>
      </c>
      <c r="F235" s="187" t="s">
        <v>49</v>
      </c>
      <c r="G235" s="187" t="s">
        <v>78</v>
      </c>
      <c r="H235" s="188">
        <f>(946726)/1000*$H$5</f>
        <v>946.726</v>
      </c>
      <c r="I235" s="188">
        <f t="shared" si="8"/>
        <v>946.726</v>
      </c>
      <c r="J235" s="204" t="s">
        <v>564</v>
      </c>
      <c r="K235" s="59"/>
      <c r="L235" s="248" t="s">
        <v>563</v>
      </c>
    </row>
    <row r="236" spans="1:12" ht="48" x14ac:dyDescent="0.2">
      <c r="A236" s="56" t="s">
        <v>1462</v>
      </c>
      <c r="B236" s="271"/>
      <c r="C236" s="617"/>
      <c r="D236" s="272" t="s">
        <v>1461</v>
      </c>
      <c r="E236" s="246" t="s">
        <v>1465</v>
      </c>
      <c r="F236" s="187" t="s">
        <v>124</v>
      </c>
      <c r="G236" s="187" t="s">
        <v>54</v>
      </c>
      <c r="H236" s="188">
        <f>(686086)/1000*$H$5</f>
        <v>686.08600000000001</v>
      </c>
      <c r="I236" s="188">
        <f>H236-(0)/1000*$H$5</f>
        <v>686.08600000000001</v>
      </c>
      <c r="J236" s="204"/>
      <c r="K236" s="59"/>
      <c r="L236" s="248"/>
    </row>
    <row r="237" spans="1:12" ht="48" x14ac:dyDescent="0.2">
      <c r="A237" s="56" t="s">
        <v>1463</v>
      </c>
      <c r="B237" s="271"/>
      <c r="C237" s="617"/>
      <c r="D237" s="272" t="s">
        <v>620</v>
      </c>
      <c r="E237" s="246" t="s">
        <v>1466</v>
      </c>
      <c r="F237" s="187" t="s">
        <v>4</v>
      </c>
      <c r="G237" s="187" t="s">
        <v>5</v>
      </c>
      <c r="H237" s="188">
        <f>(740000+867118)/1000*$H$5</f>
        <v>1607.1179999999999</v>
      </c>
      <c r="I237" s="188">
        <f t="shared" si="8"/>
        <v>1607.1179999999999</v>
      </c>
      <c r="J237" s="204" t="s">
        <v>565</v>
      </c>
      <c r="K237" s="59"/>
      <c r="L237" s="248" t="s">
        <v>620</v>
      </c>
    </row>
    <row r="238" spans="1:12" ht="48" x14ac:dyDescent="0.2">
      <c r="A238" s="56" t="s">
        <v>1464</v>
      </c>
      <c r="B238" s="271"/>
      <c r="C238" s="617"/>
      <c r="D238" s="272" t="s">
        <v>621</v>
      </c>
      <c r="E238" s="246" t="s">
        <v>1467</v>
      </c>
      <c r="F238" s="187" t="s">
        <v>137</v>
      </c>
      <c r="G238" s="187" t="s">
        <v>9</v>
      </c>
      <c r="H238" s="188">
        <f>(1509648+1083366)/1000*$H$5</f>
        <v>2593.0140000000001</v>
      </c>
      <c r="I238" s="188">
        <f t="shared" si="8"/>
        <v>2593.0140000000001</v>
      </c>
      <c r="J238" s="204" t="s">
        <v>565</v>
      </c>
      <c r="K238" s="59"/>
      <c r="L238" s="248" t="s">
        <v>621</v>
      </c>
    </row>
    <row r="239" spans="1:12" ht="48" x14ac:dyDescent="0.2">
      <c r="A239" s="56" t="s">
        <v>1472</v>
      </c>
      <c r="B239" s="271"/>
      <c r="C239" s="617"/>
      <c r="D239" s="272" t="s">
        <v>623</v>
      </c>
      <c r="E239" s="246" t="s">
        <v>1468</v>
      </c>
      <c r="F239" s="187" t="s">
        <v>508</v>
      </c>
      <c r="G239" s="187" t="s">
        <v>16</v>
      </c>
      <c r="H239" s="188">
        <f>(4608712+1700000)/1000*$H$5</f>
        <v>6308.7120000000004</v>
      </c>
      <c r="I239" s="188">
        <f t="shared" si="8"/>
        <v>6308.7120000000004</v>
      </c>
      <c r="J239" s="204" t="s">
        <v>565</v>
      </c>
      <c r="K239" s="59"/>
      <c r="L239" s="248" t="s">
        <v>623</v>
      </c>
    </row>
    <row r="240" spans="1:12" ht="72" x14ac:dyDescent="0.2">
      <c r="A240" s="56" t="s">
        <v>1473</v>
      </c>
      <c r="B240" s="273"/>
      <c r="C240" s="627"/>
      <c r="D240" s="272" t="s">
        <v>624</v>
      </c>
      <c r="E240" s="204" t="s">
        <v>1469</v>
      </c>
      <c r="F240" s="187" t="s">
        <v>61</v>
      </c>
      <c r="G240" s="187" t="s">
        <v>103</v>
      </c>
      <c r="H240" s="188">
        <f>(1330000)/1000*$H$5</f>
        <v>1330</v>
      </c>
      <c r="I240" s="188">
        <f t="shared" si="8"/>
        <v>1330</v>
      </c>
      <c r="J240" s="204" t="s">
        <v>756</v>
      </c>
      <c r="K240" s="59"/>
      <c r="L240" s="60" t="s">
        <v>624</v>
      </c>
    </row>
    <row r="241" spans="1:12" ht="48" x14ac:dyDescent="0.2">
      <c r="A241" s="112" t="s">
        <v>1474</v>
      </c>
      <c r="B241" s="131" t="s">
        <v>1471</v>
      </c>
      <c r="C241" s="131" t="s">
        <v>637</v>
      </c>
      <c r="D241" s="183" t="s">
        <v>641</v>
      </c>
      <c r="E241" s="66" t="s">
        <v>1470</v>
      </c>
      <c r="F241" s="77" t="s">
        <v>141</v>
      </c>
      <c r="G241" s="77" t="s">
        <v>638</v>
      </c>
      <c r="H241" s="195">
        <f>(1240980)/1000*$H$5</f>
        <v>1240.98</v>
      </c>
      <c r="I241" s="195">
        <f t="shared" si="8"/>
        <v>1240.98</v>
      </c>
      <c r="J241" s="66" t="s">
        <v>640</v>
      </c>
      <c r="K241" s="78"/>
      <c r="L241" s="60" t="s">
        <v>641</v>
      </c>
    </row>
    <row r="242" spans="1:12" x14ac:dyDescent="0.2">
      <c r="A242" s="337"/>
      <c r="B242" s="338"/>
      <c r="C242" s="338"/>
      <c r="D242" s="339"/>
      <c r="E242" s="209"/>
      <c r="F242" s="257"/>
      <c r="G242" s="257"/>
      <c r="H242" s="262"/>
      <c r="I242" s="262"/>
      <c r="J242" s="209"/>
      <c r="K242" s="340"/>
    </row>
    <row r="243" spans="1:12" x14ac:dyDescent="0.2">
      <c r="A243" s="337"/>
      <c r="B243" s="625" t="s">
        <v>796</v>
      </c>
      <c r="C243" s="625"/>
      <c r="D243" s="625"/>
      <c r="E243" s="625"/>
      <c r="F243" s="625"/>
      <c r="G243" s="625"/>
      <c r="H243" s="625"/>
      <c r="I243" s="625"/>
      <c r="J243" s="625"/>
      <c r="K243" s="625"/>
    </row>
    <row r="245" spans="1:12" x14ac:dyDescent="0.2">
      <c r="A245" s="60" t="s">
        <v>806</v>
      </c>
      <c r="D245" s="60"/>
      <c r="E245" s="60"/>
    </row>
    <row r="267" spans="10:10" x14ac:dyDescent="0.2">
      <c r="J267" s="60" t="s">
        <v>1016</v>
      </c>
    </row>
    <row r="268" spans="10:10" x14ac:dyDescent="0.2">
      <c r="J268" s="60" t="s">
        <v>1018</v>
      </c>
    </row>
    <row r="269" spans="10:10" x14ac:dyDescent="0.2">
      <c r="J269" s="60" t="s">
        <v>1019</v>
      </c>
    </row>
    <row r="270" spans="10:10" x14ac:dyDescent="0.2">
      <c r="J270" s="60" t="s">
        <v>1020</v>
      </c>
    </row>
    <row r="271" spans="10:10" x14ac:dyDescent="0.2">
      <c r="J271" s="60" t="s">
        <v>1021</v>
      </c>
    </row>
    <row r="272" spans="10:10" x14ac:dyDescent="0.2">
      <c r="J272" s="60" t="s">
        <v>1022</v>
      </c>
    </row>
    <row r="273" spans="10:12" x14ac:dyDescent="0.2">
      <c r="J273" s="60" t="s">
        <v>1023</v>
      </c>
    </row>
    <row r="274" spans="10:12" x14ac:dyDescent="0.2">
      <c r="J274" s="60" t="s">
        <v>1024</v>
      </c>
    </row>
    <row r="275" spans="10:12" x14ac:dyDescent="0.2">
      <c r="J275" s="60" t="s">
        <v>1025</v>
      </c>
    </row>
    <row r="276" spans="10:12" x14ac:dyDescent="0.2">
      <c r="J276" s="60" t="s">
        <v>1026</v>
      </c>
    </row>
    <row r="277" spans="10:12" x14ac:dyDescent="0.2">
      <c r="J277" s="60" t="s">
        <v>1027</v>
      </c>
    </row>
    <row r="280" spans="10:12" x14ac:dyDescent="0.2">
      <c r="J280" s="60" t="s">
        <v>786</v>
      </c>
      <c r="L280" s="60" t="s">
        <v>577</v>
      </c>
    </row>
  </sheetData>
  <mergeCells count="48">
    <mergeCell ref="B243:K243"/>
    <mergeCell ref="C167:C168"/>
    <mergeCell ref="C176:C177"/>
    <mergeCell ref="C200:C228"/>
    <mergeCell ref="C235:C240"/>
    <mergeCell ref="C178:C179"/>
    <mergeCell ref="B232:B233"/>
    <mergeCell ref="C232:C233"/>
    <mergeCell ref="A6:A7"/>
    <mergeCell ref="B6:B7"/>
    <mergeCell ref="C6:C7"/>
    <mergeCell ref="D6:D7"/>
    <mergeCell ref="E6:E7"/>
    <mergeCell ref="F6:G6"/>
    <mergeCell ref="H6:I6"/>
    <mergeCell ref="J6:J7"/>
    <mergeCell ref="K6:K7"/>
    <mergeCell ref="C10:C11"/>
    <mergeCell ref="C12:C13"/>
    <mergeCell ref="C16:C18"/>
    <mergeCell ref="C35:C37"/>
    <mergeCell ref="C38:C40"/>
    <mergeCell ref="C45:C47"/>
    <mergeCell ref="C116:C120"/>
    <mergeCell ref="J116:J120"/>
    <mergeCell ref="J123:J127"/>
    <mergeCell ref="C23:C32"/>
    <mergeCell ref="C54:C55"/>
    <mergeCell ref="C91:C92"/>
    <mergeCell ref="C94:C96"/>
    <mergeCell ref="C110:C112"/>
    <mergeCell ref="C102:C106"/>
    <mergeCell ref="C108:C109"/>
    <mergeCell ref="C83:C84"/>
    <mergeCell ref="C85:C86"/>
    <mergeCell ref="C67:C68"/>
    <mergeCell ref="C62:C63"/>
    <mergeCell ref="C70:C71"/>
    <mergeCell ref="B123:B127"/>
    <mergeCell ref="J128:J132"/>
    <mergeCell ref="C185:C199"/>
    <mergeCell ref="J134:J136"/>
    <mergeCell ref="C143:C144"/>
    <mergeCell ref="C122:C142"/>
    <mergeCell ref="C145:C152"/>
    <mergeCell ref="C154:C155"/>
    <mergeCell ref="C159:C163"/>
    <mergeCell ref="B134:B136"/>
  </mergeCells>
  <pageMargins left="0.11811023622047245" right="0.11811023622047245" top="0.27559055118110237" bottom="0.27559055118110237" header="0.31496062992125984" footer="0.11811023622047245"/>
  <pageSetup paperSize="9" scale="92" fitToHeight="20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539"/>
  <sheetViews>
    <sheetView showZeros="0" view="pageBreakPreview" topLeftCell="B6" zoomScale="120" zoomScaleNormal="120" zoomScaleSheetLayoutView="120" workbookViewId="0">
      <pane ySplit="2" topLeftCell="A479" activePane="bottomLeft" state="frozen"/>
      <selection activeCell="A6" sqref="A6"/>
      <selection pane="bottomLeft" activeCell="B490" sqref="B490"/>
    </sheetView>
  </sheetViews>
  <sheetFormatPr defaultColWidth="9.140625" defaultRowHeight="12" x14ac:dyDescent="0.2"/>
  <cols>
    <col min="1" max="1" width="5.140625" style="60" hidden="1" customWidth="1"/>
    <col min="2" max="2" width="5.140625" style="281" customWidth="1"/>
    <col min="3" max="3" width="29.5703125" style="60" customWidth="1"/>
    <col min="4" max="4" width="35.7109375" style="60" customWidth="1"/>
    <col min="5" max="5" width="9.85546875" style="274" customWidth="1"/>
    <col min="6" max="6" width="33" style="275" customWidth="1"/>
    <col min="7" max="7" width="9.140625" style="60" customWidth="1"/>
    <col min="8" max="8" width="10.42578125" style="60" customWidth="1"/>
    <col min="9" max="9" width="12.42578125" style="60" customWidth="1"/>
    <col min="10" max="10" width="11.42578125" style="60" customWidth="1"/>
    <col min="11" max="11" width="60.140625" style="60" customWidth="1"/>
    <col min="12" max="12" width="47.7109375" style="60" hidden="1" customWidth="1"/>
    <col min="13" max="13" width="47.7109375" style="60" customWidth="1"/>
    <col min="14" max="14" width="9.5703125" style="60" bestFit="1" customWidth="1"/>
    <col min="15" max="16384" width="9.140625" style="60"/>
  </cols>
  <sheetData>
    <row r="2" spans="1:13" x14ac:dyDescent="0.2">
      <c r="C2" s="276" t="s">
        <v>39</v>
      </c>
      <c r="D2" s="276"/>
      <c r="E2" s="276"/>
      <c r="F2" s="276"/>
      <c r="G2" s="276"/>
      <c r="H2" s="276"/>
      <c r="I2" s="276"/>
      <c r="J2" s="276"/>
      <c r="K2" s="276"/>
      <c r="L2" s="276"/>
    </row>
    <row r="3" spans="1:13" x14ac:dyDescent="0.2">
      <c r="C3" s="276" t="s">
        <v>40</v>
      </c>
      <c r="D3" s="276"/>
      <c r="E3" s="276"/>
      <c r="F3" s="276"/>
      <c r="G3" s="276"/>
      <c r="H3" s="276"/>
      <c r="I3" s="276"/>
      <c r="J3" s="276"/>
      <c r="K3" s="276"/>
      <c r="L3" s="276"/>
    </row>
    <row r="4" spans="1:13" x14ac:dyDescent="0.2">
      <c r="C4" s="276" t="s">
        <v>2567</v>
      </c>
      <c r="D4" s="276"/>
      <c r="E4" s="276"/>
      <c r="F4" s="276"/>
      <c r="G4" s="276"/>
      <c r="H4" s="276"/>
      <c r="I4" s="276"/>
      <c r="J4" s="276"/>
      <c r="K4" s="276"/>
      <c r="L4" s="276"/>
    </row>
    <row r="5" spans="1:13" ht="15.6" customHeight="1" x14ac:dyDescent="0.2">
      <c r="C5" s="210"/>
      <c r="D5" s="210"/>
      <c r="E5" s="211"/>
      <c r="F5" s="212"/>
      <c r="G5" s="210"/>
      <c r="H5" s="210"/>
      <c r="I5" s="213">
        <v>1</v>
      </c>
      <c r="J5" s="210"/>
      <c r="K5" s="210"/>
      <c r="L5" s="210"/>
    </row>
    <row r="6" spans="1:13" ht="25.5" customHeight="1" x14ac:dyDescent="0.2">
      <c r="A6" s="619" t="s">
        <v>65</v>
      </c>
      <c r="B6" s="644" t="s">
        <v>65</v>
      </c>
      <c r="C6" s="619" t="s">
        <v>0</v>
      </c>
      <c r="D6" s="621" t="s">
        <v>807</v>
      </c>
      <c r="E6" s="623" t="s">
        <v>808</v>
      </c>
      <c r="F6" s="621" t="s">
        <v>809</v>
      </c>
      <c r="G6" s="618" t="s">
        <v>1</v>
      </c>
      <c r="H6" s="618"/>
      <c r="I6" s="618" t="s">
        <v>43</v>
      </c>
      <c r="J6" s="618"/>
      <c r="K6" s="618" t="s">
        <v>44</v>
      </c>
      <c r="L6" s="618" t="s">
        <v>45</v>
      </c>
    </row>
    <row r="7" spans="1:13" ht="56.45" customHeight="1" x14ac:dyDescent="0.2">
      <c r="A7" s="620"/>
      <c r="B7" s="645"/>
      <c r="C7" s="620"/>
      <c r="D7" s="622"/>
      <c r="E7" s="624"/>
      <c r="F7" s="622"/>
      <c r="G7" s="362" t="s">
        <v>2</v>
      </c>
      <c r="H7" s="215" t="s">
        <v>42</v>
      </c>
      <c r="I7" s="362" t="s">
        <v>3</v>
      </c>
      <c r="J7" s="362" t="s">
        <v>33</v>
      </c>
      <c r="K7" s="618"/>
      <c r="L7" s="618"/>
      <c r="M7" s="60" t="s">
        <v>346</v>
      </c>
    </row>
    <row r="8" spans="1:13" ht="11.45" customHeight="1" x14ac:dyDescent="0.2">
      <c r="A8" s="78">
        <v>1</v>
      </c>
      <c r="B8" s="303">
        <v>1</v>
      </c>
      <c r="C8" s="78">
        <v>2</v>
      </c>
      <c r="D8" s="78">
        <v>3</v>
      </c>
      <c r="E8" s="216"/>
      <c r="F8" s="217"/>
      <c r="G8" s="78">
        <v>4</v>
      </c>
      <c r="H8" s="78">
        <v>5</v>
      </c>
      <c r="I8" s="78">
        <v>6</v>
      </c>
      <c r="J8" s="78">
        <v>7</v>
      </c>
      <c r="K8" s="78">
        <v>8</v>
      </c>
      <c r="L8" s="78">
        <v>9</v>
      </c>
    </row>
    <row r="9" spans="1:13" ht="40.5" customHeight="1" x14ac:dyDescent="0.2">
      <c r="A9" s="218" t="s">
        <v>116</v>
      </c>
      <c r="B9" s="374" t="s">
        <v>116</v>
      </c>
      <c r="C9" s="219" t="s">
        <v>834</v>
      </c>
      <c r="E9" s="220"/>
      <c r="F9" s="357"/>
      <c r="G9" s="353"/>
      <c r="H9" s="353"/>
      <c r="I9" s="196"/>
      <c r="J9" s="196"/>
      <c r="K9" s="357"/>
      <c r="L9" s="221"/>
    </row>
    <row r="10" spans="1:13" ht="96" customHeight="1" x14ac:dyDescent="0.2">
      <c r="A10" s="56" t="s">
        <v>66</v>
      </c>
      <c r="B10" s="277" t="s">
        <v>66</v>
      </c>
      <c r="C10" s="222" t="s">
        <v>1043</v>
      </c>
      <c r="D10" s="612" t="s">
        <v>1040</v>
      </c>
      <c r="E10" s="223" t="s">
        <v>810</v>
      </c>
      <c r="F10" s="356" t="s">
        <v>1042</v>
      </c>
      <c r="G10" s="187" t="s">
        <v>46</v>
      </c>
      <c r="H10" s="187" t="s">
        <v>4</v>
      </c>
      <c r="I10" s="188">
        <f>(20240490)/1000*$I$5</f>
        <v>20240.490000000002</v>
      </c>
      <c r="J10" s="188">
        <f>I10-(53737)/1000*$I$5</f>
        <v>20186.753000000001</v>
      </c>
      <c r="K10" s="358" t="s">
        <v>47</v>
      </c>
      <c r="L10" s="224"/>
    </row>
    <row r="11" spans="1:13" ht="60" x14ac:dyDescent="0.2">
      <c r="A11" s="56" t="s">
        <v>67</v>
      </c>
      <c r="B11" s="277" t="s">
        <v>67</v>
      </c>
      <c r="C11" s="222" t="s">
        <v>242</v>
      </c>
      <c r="D11" s="612"/>
      <c r="E11" s="223" t="s">
        <v>811</v>
      </c>
      <c r="F11" s="356" t="s">
        <v>1044</v>
      </c>
      <c r="G11" s="187" t="s">
        <v>48</v>
      </c>
      <c r="H11" s="187" t="s">
        <v>52</v>
      </c>
      <c r="I11" s="188">
        <f>(3127000/1.18)/1000*$I$5</f>
        <v>2650</v>
      </c>
      <c r="J11" s="188">
        <f>I11-(0)/1000*$I$5</f>
        <v>2650</v>
      </c>
      <c r="K11" s="358" t="s">
        <v>647</v>
      </c>
      <c r="L11" s="224"/>
    </row>
    <row r="12" spans="1:13" ht="48" x14ac:dyDescent="0.2">
      <c r="A12" s="56" t="s">
        <v>68</v>
      </c>
      <c r="B12" s="277" t="s">
        <v>68</v>
      </c>
      <c r="C12" s="222" t="s">
        <v>243</v>
      </c>
      <c r="D12" s="612" t="s">
        <v>1041</v>
      </c>
      <c r="E12" s="223" t="s">
        <v>813</v>
      </c>
      <c r="F12" s="358" t="s">
        <v>1045</v>
      </c>
      <c r="G12" s="187" t="s">
        <v>12</v>
      </c>
      <c r="H12" s="187" t="s">
        <v>49</v>
      </c>
      <c r="I12" s="188">
        <f>(11142291.6/1.18)/1000*$I$5</f>
        <v>9442.6200000000008</v>
      </c>
      <c r="J12" s="188">
        <f>I12-(7388413.6)/1000*$I$5</f>
        <v>2054.2064000000009</v>
      </c>
      <c r="K12" s="358" t="s">
        <v>50</v>
      </c>
      <c r="L12" s="224"/>
    </row>
    <row r="13" spans="1:13" ht="72" x14ac:dyDescent="0.2">
      <c r="A13" s="56" t="s">
        <v>69</v>
      </c>
      <c r="B13" s="277" t="s">
        <v>69</v>
      </c>
      <c r="C13" s="222" t="s">
        <v>817</v>
      </c>
      <c r="D13" s="612"/>
      <c r="E13" s="223" t="s">
        <v>815</v>
      </c>
      <c r="F13" s="356" t="s">
        <v>1046</v>
      </c>
      <c r="G13" s="187" t="s">
        <v>51</v>
      </c>
      <c r="H13" s="187" t="s">
        <v>52</v>
      </c>
      <c r="I13" s="188">
        <f>(3600000)/1000*$I$5</f>
        <v>3600</v>
      </c>
      <c r="J13" s="188">
        <f t="shared" ref="J13:J46" si="0">I13-(0)/1000*$I$5</f>
        <v>3600</v>
      </c>
      <c r="K13" s="358" t="s">
        <v>53</v>
      </c>
      <c r="L13" s="224"/>
    </row>
    <row r="14" spans="1:13" ht="72" x14ac:dyDescent="0.2">
      <c r="A14" s="56" t="s">
        <v>70</v>
      </c>
      <c r="B14" s="277" t="s">
        <v>70</v>
      </c>
      <c r="C14" s="356" t="s">
        <v>816</v>
      </c>
      <c r="D14" s="225"/>
      <c r="E14" s="226" t="s">
        <v>818</v>
      </c>
      <c r="F14" s="358" t="s">
        <v>1047</v>
      </c>
      <c r="G14" s="187" t="s">
        <v>54</v>
      </c>
      <c r="H14" s="187" t="s">
        <v>25</v>
      </c>
      <c r="I14" s="188">
        <f>(2765753)/1000*$I$5</f>
        <v>2765.7530000000002</v>
      </c>
      <c r="J14" s="188">
        <f>I14-(401097)/1000*$I$5</f>
        <v>2364.6559999999999</v>
      </c>
      <c r="K14" s="358" t="s">
        <v>55</v>
      </c>
      <c r="L14" s="224"/>
    </row>
    <row r="15" spans="1:13" ht="60" x14ac:dyDescent="0.2">
      <c r="A15" s="56" t="s">
        <v>71</v>
      </c>
      <c r="B15" s="277" t="s">
        <v>71</v>
      </c>
      <c r="C15" s="356" t="s">
        <v>244</v>
      </c>
      <c r="D15" s="225"/>
      <c r="E15" s="226" t="s">
        <v>820</v>
      </c>
      <c r="F15" s="358" t="s">
        <v>1048</v>
      </c>
      <c r="G15" s="187" t="s">
        <v>56</v>
      </c>
      <c r="H15" s="187" t="s">
        <v>52</v>
      </c>
      <c r="I15" s="188">
        <f>(5000000)/1000*$I$5</f>
        <v>5000</v>
      </c>
      <c r="J15" s="188">
        <f t="shared" si="0"/>
        <v>5000</v>
      </c>
      <c r="K15" s="358" t="s">
        <v>170</v>
      </c>
      <c r="L15" s="224"/>
    </row>
    <row r="16" spans="1:13" ht="84" x14ac:dyDescent="0.2">
      <c r="A16" s="56" t="s">
        <v>72</v>
      </c>
      <c r="B16" s="277" t="s">
        <v>72</v>
      </c>
      <c r="C16" s="356" t="s">
        <v>821</v>
      </c>
      <c r="D16" s="612" t="s">
        <v>1050</v>
      </c>
      <c r="E16" s="226" t="s">
        <v>822</v>
      </c>
      <c r="F16" s="358" t="s">
        <v>1049</v>
      </c>
      <c r="G16" s="187" t="s">
        <v>4</v>
      </c>
      <c r="H16" s="187" t="s">
        <v>7</v>
      </c>
      <c r="I16" s="188">
        <f>(5947000)/1000*$I$5</f>
        <v>5947</v>
      </c>
      <c r="J16" s="188">
        <f>I16-(322033.9)/1000*$I$5</f>
        <v>5624.9660999999996</v>
      </c>
      <c r="K16" s="358" t="s">
        <v>57</v>
      </c>
      <c r="L16" s="224"/>
    </row>
    <row r="17" spans="1:12" ht="67.5" customHeight="1" x14ac:dyDescent="0.2">
      <c r="A17" s="56" t="s">
        <v>73</v>
      </c>
      <c r="B17" s="277" t="s">
        <v>73</v>
      </c>
      <c r="C17" s="356" t="s">
        <v>823</v>
      </c>
      <c r="D17" s="612"/>
      <c r="E17" s="226" t="s">
        <v>824</v>
      </c>
      <c r="F17" s="358" t="s">
        <v>823</v>
      </c>
      <c r="G17" s="187" t="s">
        <v>58</v>
      </c>
      <c r="H17" s="187" t="s">
        <v>58</v>
      </c>
      <c r="I17" s="188">
        <f>(720000)/1000*$I$5</f>
        <v>720</v>
      </c>
      <c r="J17" s="188">
        <f>I17-(128844)/1000*$I$5</f>
        <v>591.15599999999995</v>
      </c>
      <c r="K17" s="358" t="s">
        <v>59</v>
      </c>
      <c r="L17" s="224"/>
    </row>
    <row r="18" spans="1:12" ht="36" x14ac:dyDescent="0.2">
      <c r="A18" s="56" t="s">
        <v>74</v>
      </c>
      <c r="B18" s="277" t="s">
        <v>74</v>
      </c>
      <c r="C18" s="356" t="s">
        <v>825</v>
      </c>
      <c r="D18" s="612"/>
      <c r="E18" s="226" t="s">
        <v>832</v>
      </c>
      <c r="F18" s="358" t="s">
        <v>825</v>
      </c>
      <c r="G18" s="187" t="s">
        <v>60</v>
      </c>
      <c r="H18" s="187" t="s">
        <v>60</v>
      </c>
      <c r="I18" s="188">
        <f>(700000)/1000*$I$5</f>
        <v>700</v>
      </c>
      <c r="J18" s="188">
        <f t="shared" si="0"/>
        <v>700</v>
      </c>
      <c r="K18" s="358" t="s">
        <v>59</v>
      </c>
      <c r="L18" s="224"/>
    </row>
    <row r="19" spans="1:12" ht="36" x14ac:dyDescent="0.2">
      <c r="A19" s="56" t="s">
        <v>75</v>
      </c>
      <c r="B19" s="277" t="s">
        <v>75</v>
      </c>
      <c r="C19" s="356" t="s">
        <v>826</v>
      </c>
      <c r="D19" s="225"/>
      <c r="E19" s="226" t="s">
        <v>828</v>
      </c>
      <c r="F19" s="358" t="s">
        <v>59</v>
      </c>
      <c r="G19" s="187" t="s">
        <v>61</v>
      </c>
      <c r="H19" s="187" t="s">
        <v>61</v>
      </c>
      <c r="I19" s="188">
        <f>(720000)/1000*$I$5</f>
        <v>720</v>
      </c>
      <c r="J19" s="188">
        <f t="shared" si="0"/>
        <v>720</v>
      </c>
      <c r="K19" s="358" t="s">
        <v>59</v>
      </c>
      <c r="L19" s="224"/>
    </row>
    <row r="20" spans="1:12" ht="84" customHeight="1" x14ac:dyDescent="0.2">
      <c r="A20" s="56" t="s">
        <v>76</v>
      </c>
      <c r="B20" s="277" t="s">
        <v>76</v>
      </c>
      <c r="C20" s="356" t="s">
        <v>827</v>
      </c>
      <c r="D20" s="612" t="s">
        <v>1535</v>
      </c>
      <c r="E20" s="226" t="s">
        <v>829</v>
      </c>
      <c r="F20" s="358" t="s">
        <v>827</v>
      </c>
      <c r="G20" s="187" t="s">
        <v>62</v>
      </c>
      <c r="H20" s="187" t="s">
        <v>62</v>
      </c>
      <c r="I20" s="188">
        <f>(730000)/1000*$I$5</f>
        <v>730</v>
      </c>
      <c r="J20" s="188">
        <f t="shared" si="0"/>
        <v>730</v>
      </c>
      <c r="K20" s="358" t="s">
        <v>59</v>
      </c>
      <c r="L20" s="224"/>
    </row>
    <row r="21" spans="1:12" ht="46.5" customHeight="1" x14ac:dyDescent="0.2">
      <c r="A21" s="56" t="s">
        <v>77</v>
      </c>
      <c r="B21" s="277" t="s">
        <v>77</v>
      </c>
      <c r="C21" s="356" t="s">
        <v>245</v>
      </c>
      <c r="D21" s="612"/>
      <c r="E21" s="226" t="s">
        <v>831</v>
      </c>
      <c r="F21" s="356" t="s">
        <v>245</v>
      </c>
      <c r="G21" s="187" t="s">
        <v>16</v>
      </c>
      <c r="H21" s="187" t="s">
        <v>63</v>
      </c>
      <c r="I21" s="188">
        <f>(170917+20177971)/1000*$I$5</f>
        <v>20348.887999999999</v>
      </c>
      <c r="J21" s="188">
        <f>I21-(2286003+6277093)/1000*$I$5</f>
        <v>11785.791999999999</v>
      </c>
      <c r="K21" s="358" t="s">
        <v>64</v>
      </c>
      <c r="L21" s="224"/>
    </row>
    <row r="22" spans="1:12" s="281" customFormat="1" ht="52.5" customHeight="1" x14ac:dyDescent="0.2">
      <c r="A22" s="277"/>
      <c r="B22" s="277" t="s">
        <v>80</v>
      </c>
      <c r="C22" s="297" t="s">
        <v>1477</v>
      </c>
      <c r="D22" s="367"/>
      <c r="E22" s="278" t="s">
        <v>1478</v>
      </c>
      <c r="F22" s="297" t="s">
        <v>1476</v>
      </c>
      <c r="G22" s="277" t="s">
        <v>1479</v>
      </c>
      <c r="H22" s="277" t="s">
        <v>1480</v>
      </c>
      <c r="I22" s="279">
        <f>(750000)/1000*$I$5</f>
        <v>750</v>
      </c>
      <c r="J22" s="279">
        <f>I22-(0)/1000*$I$5</f>
        <v>750</v>
      </c>
      <c r="K22" s="358" t="s">
        <v>59</v>
      </c>
      <c r="L22" s="280"/>
    </row>
    <row r="23" spans="1:12" s="281" customFormat="1" ht="69.75" customHeight="1" x14ac:dyDescent="0.2">
      <c r="A23" s="277"/>
      <c r="B23" s="277" t="s">
        <v>82</v>
      </c>
      <c r="C23" s="297" t="s">
        <v>1481</v>
      </c>
      <c r="D23" s="367"/>
      <c r="E23" s="278" t="s">
        <v>1483</v>
      </c>
      <c r="F23" s="297" t="s">
        <v>1481</v>
      </c>
      <c r="G23" s="277" t="s">
        <v>1484</v>
      </c>
      <c r="H23" s="277" t="s">
        <v>1482</v>
      </c>
      <c r="I23" s="279">
        <f>(15876906)/1000*$I$5</f>
        <v>15876.906000000001</v>
      </c>
      <c r="J23" s="279">
        <f>I23-(1089110+457627+67533+605566+45149)/1000*$I$5</f>
        <v>13611.921</v>
      </c>
      <c r="K23" s="367" t="s">
        <v>1702</v>
      </c>
      <c r="L23" s="280"/>
    </row>
    <row r="24" spans="1:12" s="281" customFormat="1" ht="42.75" customHeight="1" x14ac:dyDescent="0.2">
      <c r="A24" s="277"/>
      <c r="B24" s="277" t="s">
        <v>87</v>
      </c>
      <c r="C24" s="297" t="s">
        <v>1485</v>
      </c>
      <c r="D24" s="367"/>
      <c r="E24" s="278" t="s">
        <v>1486</v>
      </c>
      <c r="F24" s="297" t="s">
        <v>1485</v>
      </c>
      <c r="G24" s="277" t="s">
        <v>1488</v>
      </c>
      <c r="H24" s="277" t="s">
        <v>1487</v>
      </c>
      <c r="I24" s="279">
        <f>(800000)/1000*$I$5</f>
        <v>800</v>
      </c>
      <c r="J24" s="279">
        <f>I24-(10)/1000*$I$5</f>
        <v>799.99</v>
      </c>
      <c r="K24" s="358" t="s">
        <v>59</v>
      </c>
      <c r="L24" s="280"/>
    </row>
    <row r="25" spans="1:12" ht="140.25" customHeight="1" x14ac:dyDescent="0.2">
      <c r="A25" s="56" t="s">
        <v>80</v>
      </c>
      <c r="B25" s="277" t="s">
        <v>88</v>
      </c>
      <c r="C25" s="356" t="s">
        <v>853</v>
      </c>
      <c r="D25" s="351" t="s">
        <v>1062</v>
      </c>
      <c r="E25" s="176" t="s">
        <v>854</v>
      </c>
      <c r="F25" s="351" t="s">
        <v>1051</v>
      </c>
      <c r="G25" s="187" t="s">
        <v>78</v>
      </c>
      <c r="H25" s="187" t="s">
        <v>7</v>
      </c>
      <c r="I25" s="188">
        <f>(3293513)/1000*$I$5</f>
        <v>3293.5129999999999</v>
      </c>
      <c r="J25" s="188">
        <f t="shared" si="0"/>
        <v>3293.5129999999999</v>
      </c>
      <c r="K25" s="358" t="s">
        <v>79</v>
      </c>
      <c r="L25" s="224"/>
    </row>
    <row r="26" spans="1:12" ht="111.75" customHeight="1" x14ac:dyDescent="0.2">
      <c r="A26" s="56" t="s">
        <v>82</v>
      </c>
      <c r="B26" s="277" t="s">
        <v>89</v>
      </c>
      <c r="C26" s="356" t="s">
        <v>247</v>
      </c>
      <c r="D26" s="583" t="s">
        <v>1136</v>
      </c>
      <c r="E26" s="176" t="s">
        <v>855</v>
      </c>
      <c r="F26" s="358" t="s">
        <v>1052</v>
      </c>
      <c r="G26" s="187" t="s">
        <v>84</v>
      </c>
      <c r="H26" s="187" t="s">
        <v>7</v>
      </c>
      <c r="I26" s="188">
        <f>(15724959.7)/1000*$I$5</f>
        <v>15724.959699999999</v>
      </c>
      <c r="J26" s="188">
        <f t="shared" si="0"/>
        <v>15724.959699999999</v>
      </c>
      <c r="K26" s="358" t="s">
        <v>85</v>
      </c>
      <c r="L26" s="224"/>
    </row>
    <row r="27" spans="1:12" ht="132" x14ac:dyDescent="0.2">
      <c r="A27" s="56" t="s">
        <v>87</v>
      </c>
      <c r="B27" s="277" t="s">
        <v>90</v>
      </c>
      <c r="C27" s="356" t="s">
        <v>247</v>
      </c>
      <c r="D27" s="583"/>
      <c r="E27" s="176" t="s">
        <v>856</v>
      </c>
      <c r="F27" s="358" t="s">
        <v>1053</v>
      </c>
      <c r="G27" s="187" t="s">
        <v>86</v>
      </c>
      <c r="H27" s="187" t="s">
        <v>22</v>
      </c>
      <c r="I27" s="188">
        <f>(13589383)/1000*$I$5</f>
        <v>13589.383</v>
      </c>
      <c r="J27" s="188">
        <f t="shared" si="0"/>
        <v>13589.383</v>
      </c>
      <c r="K27" s="358" t="s">
        <v>109</v>
      </c>
      <c r="L27" s="224"/>
    </row>
    <row r="28" spans="1:12" ht="120" x14ac:dyDescent="0.2">
      <c r="A28" s="56" t="s">
        <v>88</v>
      </c>
      <c r="B28" s="277" t="s">
        <v>96</v>
      </c>
      <c r="C28" s="356" t="s">
        <v>1489</v>
      </c>
      <c r="D28" s="583"/>
      <c r="E28" s="176" t="s">
        <v>857</v>
      </c>
      <c r="F28" s="358" t="s">
        <v>1054</v>
      </c>
      <c r="G28" s="187" t="s">
        <v>91</v>
      </c>
      <c r="H28" s="189" t="s">
        <v>873</v>
      </c>
      <c r="I28" s="188">
        <f>(9015373)/1000*$I$5</f>
        <v>9015.3729999999996</v>
      </c>
      <c r="J28" s="188">
        <f t="shared" si="0"/>
        <v>9015.3729999999996</v>
      </c>
      <c r="K28" s="358" t="s">
        <v>110</v>
      </c>
      <c r="L28" s="224"/>
    </row>
    <row r="29" spans="1:12" ht="96" x14ac:dyDescent="0.2">
      <c r="A29" s="56" t="s">
        <v>89</v>
      </c>
      <c r="B29" s="277" t="s">
        <v>97</v>
      </c>
      <c r="C29" s="356" t="s">
        <v>247</v>
      </c>
      <c r="D29" s="583"/>
      <c r="E29" s="176" t="s">
        <v>859</v>
      </c>
      <c r="F29" s="358" t="s">
        <v>1055</v>
      </c>
      <c r="G29" s="187" t="s">
        <v>93</v>
      </c>
      <c r="H29" s="189" t="s">
        <v>872</v>
      </c>
      <c r="I29" s="188">
        <f>(21058242)/1000*$I$5</f>
        <v>21058.241999999998</v>
      </c>
      <c r="J29" s="188">
        <f t="shared" si="0"/>
        <v>21058.241999999998</v>
      </c>
      <c r="K29" s="358" t="s">
        <v>108</v>
      </c>
      <c r="L29" s="224"/>
    </row>
    <row r="30" spans="1:12" ht="96" x14ac:dyDescent="0.2">
      <c r="A30" s="56" t="s">
        <v>90</v>
      </c>
      <c r="B30" s="277" t="s">
        <v>98</v>
      </c>
      <c r="C30" s="356" t="s">
        <v>247</v>
      </c>
      <c r="D30" s="583"/>
      <c r="E30" s="176" t="s">
        <v>864</v>
      </c>
      <c r="F30" s="358" t="s">
        <v>1056</v>
      </c>
      <c r="G30" s="187" t="s">
        <v>60</v>
      </c>
      <c r="H30" s="187" t="s">
        <v>95</v>
      </c>
      <c r="I30" s="188">
        <f>(2279276)/1000*$I$5</f>
        <v>2279.2759999999998</v>
      </c>
      <c r="J30" s="188">
        <f t="shared" si="0"/>
        <v>2279.2759999999998</v>
      </c>
      <c r="K30" s="358" t="s">
        <v>111</v>
      </c>
      <c r="L30" s="224"/>
    </row>
    <row r="31" spans="1:12" ht="96" x14ac:dyDescent="0.2">
      <c r="A31" s="56" t="s">
        <v>96</v>
      </c>
      <c r="B31" s="277" t="s">
        <v>99</v>
      </c>
      <c r="C31" s="356" t="s">
        <v>247</v>
      </c>
      <c r="D31" s="583"/>
      <c r="E31" s="176" t="s">
        <v>863</v>
      </c>
      <c r="F31" s="358" t="s">
        <v>1057</v>
      </c>
      <c r="G31" s="187" t="s">
        <v>95</v>
      </c>
      <c r="H31" s="187" t="s">
        <v>9</v>
      </c>
      <c r="I31" s="188">
        <f>(1136955)/1000*$I$5</f>
        <v>1136.9549999999999</v>
      </c>
      <c r="J31" s="188">
        <f t="shared" si="0"/>
        <v>1136.9549999999999</v>
      </c>
      <c r="K31" s="358" t="s">
        <v>112</v>
      </c>
      <c r="L31" s="224"/>
    </row>
    <row r="32" spans="1:12" ht="86.25" customHeight="1" x14ac:dyDescent="0.2">
      <c r="A32" s="56" t="s">
        <v>97</v>
      </c>
      <c r="B32" s="277" t="s">
        <v>100</v>
      </c>
      <c r="C32" s="356" t="s">
        <v>247</v>
      </c>
      <c r="D32" s="583"/>
      <c r="E32" s="176" t="s">
        <v>866</v>
      </c>
      <c r="F32" s="358" t="s">
        <v>1058</v>
      </c>
      <c r="G32" s="187" t="s">
        <v>101</v>
      </c>
      <c r="H32" s="189" t="s">
        <v>638</v>
      </c>
      <c r="I32" s="188">
        <f>(8510364)/1000*$I$5</f>
        <v>8510.3639999999996</v>
      </c>
      <c r="J32" s="188">
        <f t="shared" si="0"/>
        <v>8510.3639999999996</v>
      </c>
      <c r="K32" s="358" t="s">
        <v>113</v>
      </c>
      <c r="L32" s="224"/>
    </row>
    <row r="33" spans="1:12" ht="47.25" customHeight="1" x14ac:dyDescent="0.2">
      <c r="A33" s="56" t="s">
        <v>98</v>
      </c>
      <c r="B33" s="277" t="s">
        <v>149</v>
      </c>
      <c r="C33" s="356" t="s">
        <v>247</v>
      </c>
      <c r="D33" s="583"/>
      <c r="E33" s="176" t="s">
        <v>868</v>
      </c>
      <c r="F33" s="358" t="s">
        <v>869</v>
      </c>
      <c r="G33" s="187" t="s">
        <v>103</v>
      </c>
      <c r="H33" s="187" t="s">
        <v>104</v>
      </c>
      <c r="I33" s="188">
        <f>(2290335)/1000*$I$5</f>
        <v>2290.335</v>
      </c>
      <c r="J33" s="188">
        <f t="shared" si="0"/>
        <v>2290.335</v>
      </c>
      <c r="K33" s="358" t="s">
        <v>105</v>
      </c>
      <c r="L33" s="224"/>
    </row>
    <row r="34" spans="1:12" ht="126.75" customHeight="1" x14ac:dyDescent="0.2">
      <c r="A34" s="56" t="s">
        <v>99</v>
      </c>
      <c r="B34" s="277" t="s">
        <v>2557</v>
      </c>
      <c r="C34" s="356" t="s">
        <v>247</v>
      </c>
      <c r="D34" s="583" t="s">
        <v>1536</v>
      </c>
      <c r="E34" s="176" t="s">
        <v>871</v>
      </c>
      <c r="F34" s="358" t="s">
        <v>1492</v>
      </c>
      <c r="G34" s="187" t="s">
        <v>104</v>
      </c>
      <c r="H34" s="189" t="s">
        <v>874</v>
      </c>
      <c r="I34" s="188">
        <f>(7629477)/1000*$I$5</f>
        <v>7629.4769999999999</v>
      </c>
      <c r="J34" s="188">
        <f t="shared" si="0"/>
        <v>7629.4769999999999</v>
      </c>
      <c r="K34" s="358" t="s">
        <v>114</v>
      </c>
      <c r="L34" s="224"/>
    </row>
    <row r="35" spans="1:12" ht="99.75" customHeight="1" x14ac:dyDescent="0.2">
      <c r="A35" s="56" t="s">
        <v>100</v>
      </c>
      <c r="B35" s="277" t="s">
        <v>2558</v>
      </c>
      <c r="C35" s="356" t="s">
        <v>247</v>
      </c>
      <c r="D35" s="583"/>
      <c r="E35" s="176" t="s">
        <v>877</v>
      </c>
      <c r="F35" s="358" t="s">
        <v>1493</v>
      </c>
      <c r="G35" s="187" t="s">
        <v>16</v>
      </c>
      <c r="H35" s="187" t="s">
        <v>107</v>
      </c>
      <c r="I35" s="188">
        <f>(1831211)/1000*$I$5</f>
        <v>1831.211</v>
      </c>
      <c r="J35" s="188">
        <f t="shared" si="0"/>
        <v>1831.211</v>
      </c>
      <c r="K35" s="358" t="s">
        <v>875</v>
      </c>
      <c r="L35" s="224"/>
    </row>
    <row r="36" spans="1:12" s="281" customFormat="1" ht="117.75" customHeight="1" x14ac:dyDescent="0.2">
      <c r="A36" s="277"/>
      <c r="B36" s="277" t="s">
        <v>2559</v>
      </c>
      <c r="C36" s="282" t="s">
        <v>247</v>
      </c>
      <c r="D36" s="367"/>
      <c r="E36" s="278" t="s">
        <v>1490</v>
      </c>
      <c r="F36" s="367" t="s">
        <v>1494</v>
      </c>
      <c r="G36" s="277" t="s">
        <v>1517</v>
      </c>
      <c r="H36" s="277" t="s">
        <v>1491</v>
      </c>
      <c r="I36" s="279">
        <f>(5133126)/1000*$I$5</f>
        <v>5133.1260000000002</v>
      </c>
      <c r="J36" s="279">
        <f>I36-(0)/1000*$I$5</f>
        <v>5133.1260000000002</v>
      </c>
      <c r="K36" s="358" t="s">
        <v>1495</v>
      </c>
      <c r="L36" s="280"/>
    </row>
    <row r="37" spans="1:12" s="281" customFormat="1" ht="105" customHeight="1" x14ac:dyDescent="0.2">
      <c r="A37" s="277"/>
      <c r="B37" s="277" t="s">
        <v>2560</v>
      </c>
      <c r="C37" s="282" t="s">
        <v>247</v>
      </c>
      <c r="D37" s="367"/>
      <c r="E37" s="278" t="s">
        <v>1496</v>
      </c>
      <c r="F37" s="367" t="s">
        <v>1497</v>
      </c>
      <c r="G37" s="277" t="s">
        <v>1518</v>
      </c>
      <c r="H37" s="277" t="s">
        <v>1491</v>
      </c>
      <c r="I37" s="279">
        <f>(1938340)/1000*$I$5</f>
        <v>1938.34</v>
      </c>
      <c r="J37" s="279">
        <f>I37-(0)/1000*$I$5</f>
        <v>1938.34</v>
      </c>
      <c r="K37" s="367" t="s">
        <v>1498</v>
      </c>
      <c r="L37" s="280"/>
    </row>
    <row r="38" spans="1:12" s="281" customFormat="1" ht="104.25" customHeight="1" x14ac:dyDescent="0.2">
      <c r="A38" s="277"/>
      <c r="B38" s="277" t="s">
        <v>2561</v>
      </c>
      <c r="C38" s="282" t="s">
        <v>247</v>
      </c>
      <c r="D38" s="367"/>
      <c r="E38" s="278" t="s">
        <v>1499</v>
      </c>
      <c r="F38" s="367" t="s">
        <v>1502</v>
      </c>
      <c r="G38" s="278" t="s">
        <v>1500</v>
      </c>
      <c r="H38" s="277" t="s">
        <v>1501</v>
      </c>
      <c r="I38" s="279">
        <f>(2539767.51)/1000*$I$5</f>
        <v>2539.7675099999997</v>
      </c>
      <c r="J38" s="279">
        <f>I38-(0)/1000*$I$5</f>
        <v>2539.7675099999997</v>
      </c>
      <c r="K38" s="367" t="s">
        <v>1503</v>
      </c>
      <c r="L38" s="280"/>
    </row>
    <row r="39" spans="1:12" ht="161.25" customHeight="1" x14ac:dyDescent="0.2">
      <c r="A39" s="75" t="s">
        <v>149</v>
      </c>
      <c r="B39" s="277" t="s">
        <v>2562</v>
      </c>
      <c r="C39" s="356" t="s">
        <v>146</v>
      </c>
      <c r="D39" s="352" t="s">
        <v>1063</v>
      </c>
      <c r="E39" s="181" t="s">
        <v>2566</v>
      </c>
      <c r="F39" s="352" t="s">
        <v>1061</v>
      </c>
      <c r="G39" s="354" t="s">
        <v>124</v>
      </c>
      <c r="H39" s="354" t="s">
        <v>56</v>
      </c>
      <c r="I39" s="193">
        <f>(407667.34/1.18)/1000*$I$5</f>
        <v>345.48079661016953</v>
      </c>
      <c r="J39" s="193">
        <f>I39</f>
        <v>345.48079661016953</v>
      </c>
      <c r="K39" s="359" t="s">
        <v>125</v>
      </c>
      <c r="L39" s="228"/>
    </row>
    <row r="40" spans="1:12" s="330" customFormat="1" ht="144.75" customHeight="1" x14ac:dyDescent="0.2">
      <c r="A40" s="277"/>
      <c r="B40" s="277" t="s">
        <v>2563</v>
      </c>
      <c r="C40" s="282" t="s">
        <v>2133</v>
      </c>
      <c r="D40" s="367" t="s">
        <v>2129</v>
      </c>
      <c r="E40" s="278" t="s">
        <v>2130</v>
      </c>
      <c r="F40" s="367" t="s">
        <v>2131</v>
      </c>
      <c r="G40" s="277" t="s">
        <v>21</v>
      </c>
      <c r="H40" s="277" t="s">
        <v>1559</v>
      </c>
      <c r="I40" s="314">
        <f>(4100000)/1000*$I$5</f>
        <v>4100</v>
      </c>
      <c r="J40" s="314">
        <f>I40</f>
        <v>4100</v>
      </c>
      <c r="K40" s="367" t="s">
        <v>2132</v>
      </c>
      <c r="L40" s="329"/>
    </row>
    <row r="41" spans="1:12" s="330" customFormat="1" ht="49.5" customHeight="1" x14ac:dyDescent="0.2">
      <c r="A41" s="277"/>
      <c r="B41" s="277" t="s">
        <v>2564</v>
      </c>
      <c r="C41" s="282" t="s">
        <v>2136</v>
      </c>
      <c r="D41" s="367"/>
      <c r="E41" s="278" t="s">
        <v>2134</v>
      </c>
      <c r="F41" s="367" t="s">
        <v>2135</v>
      </c>
      <c r="G41" s="277" t="s">
        <v>19</v>
      </c>
      <c r="H41" s="277" t="s">
        <v>638</v>
      </c>
      <c r="I41" s="279">
        <f>(2238628)/1000*$I$5</f>
        <v>2238.6280000000002</v>
      </c>
      <c r="J41" s="279">
        <f>I41</f>
        <v>2238.6280000000002</v>
      </c>
      <c r="K41" s="367" t="s">
        <v>2048</v>
      </c>
      <c r="L41" s="329"/>
    </row>
    <row r="42" spans="1:12" s="330" customFormat="1" ht="64.5" customHeight="1" x14ac:dyDescent="0.2">
      <c r="A42" s="277"/>
      <c r="B42" s="277" t="s">
        <v>2565</v>
      </c>
      <c r="C42" s="282" t="s">
        <v>2138</v>
      </c>
      <c r="D42" s="367"/>
      <c r="E42" s="278" t="s">
        <v>2139</v>
      </c>
      <c r="F42" s="367" t="s">
        <v>2137</v>
      </c>
      <c r="G42" s="277" t="s">
        <v>1721</v>
      </c>
      <c r="H42" s="277" t="s">
        <v>1677</v>
      </c>
      <c r="I42" s="279">
        <f>(807215)/1000*$I$5</f>
        <v>807.21500000000003</v>
      </c>
      <c r="J42" s="279">
        <f>I42</f>
        <v>807.21500000000003</v>
      </c>
      <c r="K42" s="367" t="s">
        <v>2048</v>
      </c>
      <c r="L42" s="329"/>
    </row>
    <row r="43" spans="1:12" ht="50.25" customHeight="1" x14ac:dyDescent="0.2">
      <c r="A43" s="229" t="s">
        <v>148</v>
      </c>
      <c r="B43" s="375" t="s">
        <v>148</v>
      </c>
      <c r="C43" s="219" t="s">
        <v>249</v>
      </c>
      <c r="D43" s="230" t="s">
        <v>1017</v>
      </c>
      <c r="E43" s="182"/>
      <c r="F43" s="350"/>
      <c r="G43" s="353"/>
      <c r="H43" s="353"/>
      <c r="I43" s="196">
        <f>(0)/1000*$I$5</f>
        <v>0</v>
      </c>
      <c r="J43" s="196">
        <f t="shared" si="0"/>
        <v>0</v>
      </c>
      <c r="K43" s="357"/>
      <c r="L43" s="231"/>
    </row>
    <row r="44" spans="1:12" ht="42.75" customHeight="1" x14ac:dyDescent="0.2">
      <c r="A44" s="56" t="s">
        <v>122</v>
      </c>
      <c r="B44" s="277" t="s">
        <v>122</v>
      </c>
      <c r="C44" s="356" t="s">
        <v>248</v>
      </c>
      <c r="D44" s="617" t="s">
        <v>1067</v>
      </c>
      <c r="E44" s="176" t="s">
        <v>880</v>
      </c>
      <c r="F44" s="351" t="s">
        <v>248</v>
      </c>
      <c r="G44" s="187" t="s">
        <v>119</v>
      </c>
      <c r="H44" s="187" t="s">
        <v>119</v>
      </c>
      <c r="I44" s="188">
        <f>(448400/1.18)/1000*$I$5</f>
        <v>380</v>
      </c>
      <c r="J44" s="188">
        <f t="shared" si="0"/>
        <v>380</v>
      </c>
      <c r="K44" s="358" t="s">
        <v>120</v>
      </c>
      <c r="L44" s="59"/>
    </row>
    <row r="45" spans="1:12" ht="82.5" customHeight="1" x14ac:dyDescent="0.2">
      <c r="A45" s="56" t="s">
        <v>123</v>
      </c>
      <c r="B45" s="277" t="s">
        <v>123</v>
      </c>
      <c r="C45" s="356" t="s">
        <v>881</v>
      </c>
      <c r="D45" s="617"/>
      <c r="E45" s="176" t="s">
        <v>882</v>
      </c>
      <c r="F45" s="358" t="s">
        <v>1065</v>
      </c>
      <c r="G45" s="187" t="s">
        <v>13</v>
      </c>
      <c r="H45" s="187" t="s">
        <v>8</v>
      </c>
      <c r="I45" s="188">
        <f>(2300000)/1000*$I$5</f>
        <v>2300</v>
      </c>
      <c r="J45" s="188">
        <f t="shared" si="0"/>
        <v>2300</v>
      </c>
      <c r="K45" s="358" t="s">
        <v>171</v>
      </c>
      <c r="L45" s="59"/>
    </row>
    <row r="46" spans="1:12" ht="120" x14ac:dyDescent="0.2">
      <c r="A46" s="56" t="s">
        <v>150</v>
      </c>
      <c r="B46" s="277" t="s">
        <v>150</v>
      </c>
      <c r="C46" s="356" t="s">
        <v>251</v>
      </c>
      <c r="D46" s="617"/>
      <c r="E46" s="176" t="s">
        <v>883</v>
      </c>
      <c r="F46" s="358" t="s">
        <v>1066</v>
      </c>
      <c r="G46" s="187" t="s">
        <v>126</v>
      </c>
      <c r="H46" s="187" t="s">
        <v>127</v>
      </c>
      <c r="I46" s="188">
        <f>(650000)/1000*$I$5</f>
        <v>650</v>
      </c>
      <c r="J46" s="188">
        <f t="shared" si="0"/>
        <v>650</v>
      </c>
      <c r="K46" s="358" t="s">
        <v>121</v>
      </c>
      <c r="L46" s="59"/>
    </row>
    <row r="47" spans="1:12" ht="69" customHeight="1" x14ac:dyDescent="0.2">
      <c r="A47" s="56" t="s">
        <v>151</v>
      </c>
      <c r="B47" s="277" t="s">
        <v>151</v>
      </c>
      <c r="C47" s="356" t="s">
        <v>1069</v>
      </c>
      <c r="D47" s="617" t="s">
        <v>1070</v>
      </c>
      <c r="E47" s="176" t="s">
        <v>885</v>
      </c>
      <c r="F47" s="358" t="s">
        <v>1069</v>
      </c>
      <c r="G47" s="187" t="s">
        <v>51</v>
      </c>
      <c r="H47" s="187" t="s">
        <v>56</v>
      </c>
      <c r="I47" s="188">
        <f>(2300000)/1000*$I$5</f>
        <v>2300</v>
      </c>
      <c r="J47" s="188">
        <f>I47-(61506)/1000*$I$5</f>
        <v>2238.4940000000001</v>
      </c>
      <c r="K47" s="358" t="s">
        <v>121</v>
      </c>
      <c r="L47" s="59"/>
    </row>
    <row r="48" spans="1:12" ht="69" customHeight="1" x14ac:dyDescent="0.2">
      <c r="A48" s="56" t="s">
        <v>152</v>
      </c>
      <c r="B48" s="277" t="s">
        <v>152</v>
      </c>
      <c r="C48" s="356" t="s">
        <v>253</v>
      </c>
      <c r="D48" s="617"/>
      <c r="E48" s="176" t="s">
        <v>886</v>
      </c>
      <c r="F48" s="356" t="s">
        <v>253</v>
      </c>
      <c r="G48" s="187" t="s">
        <v>51</v>
      </c>
      <c r="H48" s="187" t="s">
        <v>124</v>
      </c>
      <c r="I48" s="188">
        <f>(2300000)/1000*$I$5</f>
        <v>2300</v>
      </c>
      <c r="J48" s="188">
        <f>I48-(0)/1000*$I$5</f>
        <v>2300</v>
      </c>
      <c r="K48" s="358" t="s">
        <v>172</v>
      </c>
      <c r="L48" s="59"/>
    </row>
    <row r="49" spans="1:12" ht="60" x14ac:dyDescent="0.2">
      <c r="A49" s="56" t="s">
        <v>153</v>
      </c>
      <c r="B49" s="277" t="s">
        <v>153</v>
      </c>
      <c r="C49" s="356" t="s">
        <v>890</v>
      </c>
      <c r="D49" s="617"/>
      <c r="E49" s="176" t="s">
        <v>1068</v>
      </c>
      <c r="F49" s="356" t="s">
        <v>890</v>
      </c>
      <c r="G49" s="187" t="s">
        <v>124</v>
      </c>
      <c r="H49" s="187" t="s">
        <v>129</v>
      </c>
      <c r="I49" s="188">
        <f>(1416000/1.18)/1000*$I$5</f>
        <v>1200</v>
      </c>
      <c r="J49" s="188">
        <f>I49-(0)/1000*$I$5</f>
        <v>1200</v>
      </c>
      <c r="K49" s="358" t="s">
        <v>128</v>
      </c>
      <c r="L49" s="59"/>
    </row>
    <row r="50" spans="1:12" ht="96" x14ac:dyDescent="0.2">
      <c r="A50" s="56" t="s">
        <v>154</v>
      </c>
      <c r="B50" s="277" t="s">
        <v>154</v>
      </c>
      <c r="C50" s="356" t="s">
        <v>254</v>
      </c>
      <c r="D50" s="232"/>
      <c r="E50" s="176" t="s">
        <v>888</v>
      </c>
      <c r="F50" s="358" t="s">
        <v>1137</v>
      </c>
      <c r="G50" s="187" t="s">
        <v>49</v>
      </c>
      <c r="H50" s="187" t="s">
        <v>25</v>
      </c>
      <c r="I50" s="188">
        <f>(4600000)/1000*$I$5</f>
        <v>4600</v>
      </c>
      <c r="J50" s="188">
        <f>I50-(32790)/1000*$I$5</f>
        <v>4567.21</v>
      </c>
      <c r="K50" s="358" t="s">
        <v>130</v>
      </c>
      <c r="L50" s="59"/>
    </row>
    <row r="51" spans="1:12" ht="96" x14ac:dyDescent="0.2">
      <c r="A51" s="56" t="s">
        <v>155</v>
      </c>
      <c r="B51" s="277" t="s">
        <v>155</v>
      </c>
      <c r="C51" s="356" t="s">
        <v>255</v>
      </c>
      <c r="D51" s="232"/>
      <c r="E51" s="176" t="s">
        <v>889</v>
      </c>
      <c r="F51" s="358" t="s">
        <v>1071</v>
      </c>
      <c r="G51" s="187" t="s">
        <v>56</v>
      </c>
      <c r="H51" s="187" t="s">
        <v>7</v>
      </c>
      <c r="I51" s="188">
        <f>(1896068)/1000*$I$5</f>
        <v>1896.068</v>
      </c>
      <c r="J51" s="188">
        <f>I51-(510000)/1000*$I$5</f>
        <v>1386.068</v>
      </c>
      <c r="K51" s="358" t="s">
        <v>131</v>
      </c>
      <c r="L51" s="59"/>
    </row>
    <row r="52" spans="1:12" ht="66" customHeight="1" x14ac:dyDescent="0.2">
      <c r="A52" s="56" t="s">
        <v>156</v>
      </c>
      <c r="B52" s="277" t="s">
        <v>156</v>
      </c>
      <c r="C52" s="356" t="s">
        <v>892</v>
      </c>
      <c r="D52" s="232"/>
      <c r="E52" s="176" t="s">
        <v>894</v>
      </c>
      <c r="F52" s="356" t="s">
        <v>892</v>
      </c>
      <c r="G52" s="187" t="s">
        <v>132</v>
      </c>
      <c r="H52" s="187" t="s">
        <v>14</v>
      </c>
      <c r="I52" s="188">
        <f>(1420000)/1000*$I$5</f>
        <v>1420</v>
      </c>
      <c r="J52" s="188">
        <f>I52-(0)/1000*$I$5</f>
        <v>1420</v>
      </c>
      <c r="K52" s="358" t="s">
        <v>128</v>
      </c>
      <c r="L52" s="59"/>
    </row>
    <row r="53" spans="1:12" ht="96" x14ac:dyDescent="0.2">
      <c r="A53" s="56" t="s">
        <v>157</v>
      </c>
      <c r="B53" s="277" t="s">
        <v>157</v>
      </c>
      <c r="C53" s="356" t="s">
        <v>256</v>
      </c>
      <c r="D53" s="232"/>
      <c r="E53" s="176" t="s">
        <v>897</v>
      </c>
      <c r="F53" s="358" t="s">
        <v>1072</v>
      </c>
      <c r="G53" s="187" t="s">
        <v>4</v>
      </c>
      <c r="H53" s="187" t="s">
        <v>86</v>
      </c>
      <c r="I53" s="188">
        <f>(5583000)/1000*$I$5</f>
        <v>5583</v>
      </c>
      <c r="J53" s="188">
        <f>I53-(901966)/1000*$I$5</f>
        <v>4681.0339999999997</v>
      </c>
      <c r="K53" s="358" t="s">
        <v>134</v>
      </c>
      <c r="L53" s="59"/>
    </row>
    <row r="54" spans="1:12" ht="60" x14ac:dyDescent="0.2">
      <c r="A54" s="56" t="s">
        <v>158</v>
      </c>
      <c r="B54" s="277" t="s">
        <v>158</v>
      </c>
      <c r="C54" s="356" t="s">
        <v>895</v>
      </c>
      <c r="D54" s="617" t="s">
        <v>1064</v>
      </c>
      <c r="E54" s="176" t="s">
        <v>896</v>
      </c>
      <c r="F54" s="358" t="s">
        <v>1073</v>
      </c>
      <c r="G54" s="187" t="s">
        <v>4</v>
      </c>
      <c r="H54" s="189" t="s">
        <v>649</v>
      </c>
      <c r="I54" s="188">
        <f>(42143938)/1000*$I$5</f>
        <v>42143.938000000002</v>
      </c>
      <c r="J54" s="188">
        <f>I54-(27790161.6)/1000*$I$5</f>
        <v>14353.776399999999</v>
      </c>
      <c r="K54" s="358" t="s">
        <v>133</v>
      </c>
      <c r="L54" s="59"/>
    </row>
    <row r="55" spans="1:12" ht="84" x14ac:dyDescent="0.2">
      <c r="A55" s="56" t="s">
        <v>159</v>
      </c>
      <c r="B55" s="277" t="s">
        <v>159</v>
      </c>
      <c r="C55" s="356" t="s">
        <v>257</v>
      </c>
      <c r="D55" s="617"/>
      <c r="E55" s="176" t="s">
        <v>898</v>
      </c>
      <c r="F55" s="358" t="s">
        <v>1074</v>
      </c>
      <c r="G55" s="187" t="s">
        <v>14</v>
      </c>
      <c r="H55" s="187" t="s">
        <v>7</v>
      </c>
      <c r="I55" s="188">
        <f>(7800000)/1000*$I$5</f>
        <v>7800</v>
      </c>
      <c r="J55" s="188">
        <f>I55-(886884)/1000*$I$5</f>
        <v>6913.116</v>
      </c>
      <c r="K55" s="358" t="s">
        <v>135</v>
      </c>
      <c r="L55" s="59"/>
    </row>
    <row r="56" spans="1:12" ht="72" x14ac:dyDescent="0.2">
      <c r="A56" s="56" t="s">
        <v>160</v>
      </c>
      <c r="B56" s="277" t="s">
        <v>160</v>
      </c>
      <c r="C56" s="356" t="s">
        <v>1075</v>
      </c>
      <c r="D56" s="617"/>
      <c r="E56" s="176" t="s">
        <v>899</v>
      </c>
      <c r="F56" s="358" t="s">
        <v>1076</v>
      </c>
      <c r="G56" s="187" t="s">
        <v>58</v>
      </c>
      <c r="H56" s="187" t="s">
        <v>9</v>
      </c>
      <c r="I56" s="188">
        <f>(5200000)/1000*$I$5</f>
        <v>5200</v>
      </c>
      <c r="J56" s="188">
        <f>I56-(0)/1000*$I$5</f>
        <v>5200</v>
      </c>
      <c r="K56" s="358" t="s">
        <v>136</v>
      </c>
      <c r="L56" s="59"/>
    </row>
    <row r="57" spans="1:12" ht="48" x14ac:dyDescent="0.2">
      <c r="A57" s="56" t="s">
        <v>161</v>
      </c>
      <c r="B57" s="277" t="s">
        <v>161</v>
      </c>
      <c r="C57" s="356" t="s">
        <v>1077</v>
      </c>
      <c r="D57" s="232"/>
      <c r="E57" s="176" t="s">
        <v>900</v>
      </c>
      <c r="F57" s="356" t="s">
        <v>1077</v>
      </c>
      <c r="G57" s="187" t="s">
        <v>93</v>
      </c>
      <c r="H57" s="187" t="s">
        <v>137</v>
      </c>
      <c r="I57" s="188">
        <f>(700000)/1000*$I$5</f>
        <v>700</v>
      </c>
      <c r="J57" s="188">
        <f>I57-(370000)/1000*$I$5</f>
        <v>330</v>
      </c>
      <c r="K57" s="358" t="s">
        <v>128</v>
      </c>
      <c r="L57" s="59"/>
    </row>
    <row r="58" spans="1:12" ht="60" x14ac:dyDescent="0.2">
      <c r="A58" s="56" t="s">
        <v>162</v>
      </c>
      <c r="B58" s="277" t="s">
        <v>162</v>
      </c>
      <c r="C58" s="356" t="s">
        <v>260</v>
      </c>
      <c r="D58" s="232"/>
      <c r="E58" s="176" t="s">
        <v>901</v>
      </c>
      <c r="F58" s="356" t="s">
        <v>260</v>
      </c>
      <c r="G58" s="187" t="s">
        <v>137</v>
      </c>
      <c r="H58" s="187" t="s">
        <v>95</v>
      </c>
      <c r="I58" s="188">
        <f>(1050000)/1000*$I$5</f>
        <v>1050</v>
      </c>
      <c r="J58" s="188">
        <f t="shared" ref="J58:J71" si="1">I58-(0)/1000*$I$5</f>
        <v>1050</v>
      </c>
      <c r="K58" s="358" t="s">
        <v>128</v>
      </c>
      <c r="L58" s="59"/>
    </row>
    <row r="59" spans="1:12" ht="72" x14ac:dyDescent="0.2">
      <c r="A59" s="56" t="s">
        <v>163</v>
      </c>
      <c r="B59" s="277" t="s">
        <v>163</v>
      </c>
      <c r="C59" s="356" t="s">
        <v>902</v>
      </c>
      <c r="D59" s="232"/>
      <c r="E59" s="176" t="s">
        <v>903</v>
      </c>
      <c r="F59" s="351" t="s">
        <v>1078</v>
      </c>
      <c r="G59" s="187" t="s">
        <v>91</v>
      </c>
      <c r="H59" s="187" t="s">
        <v>95</v>
      </c>
      <c r="I59" s="188">
        <f>(3066113)/1000*$I$5</f>
        <v>3066.1129999999998</v>
      </c>
      <c r="J59" s="188">
        <f t="shared" si="1"/>
        <v>3066.1129999999998</v>
      </c>
      <c r="K59" s="358" t="s">
        <v>138</v>
      </c>
      <c r="L59" s="59"/>
    </row>
    <row r="60" spans="1:12" ht="72" x14ac:dyDescent="0.2">
      <c r="A60" s="56" t="s">
        <v>164</v>
      </c>
      <c r="B60" s="277" t="s">
        <v>164</v>
      </c>
      <c r="C60" s="356" t="s">
        <v>905</v>
      </c>
      <c r="D60" s="232"/>
      <c r="E60" s="176" t="s">
        <v>906</v>
      </c>
      <c r="F60" s="351" t="s">
        <v>1079</v>
      </c>
      <c r="G60" s="187" t="s">
        <v>60</v>
      </c>
      <c r="H60" s="187" t="s">
        <v>139</v>
      </c>
      <c r="I60" s="188">
        <f>(5238644)/1000*$I$5</f>
        <v>5238.6440000000002</v>
      </c>
      <c r="J60" s="188">
        <f t="shared" si="1"/>
        <v>5238.6440000000002</v>
      </c>
      <c r="K60" s="358" t="s">
        <v>140</v>
      </c>
      <c r="L60" s="59"/>
    </row>
    <row r="61" spans="1:12" ht="60" x14ac:dyDescent="0.2">
      <c r="A61" s="56" t="s">
        <v>165</v>
      </c>
      <c r="B61" s="277" t="s">
        <v>165</v>
      </c>
      <c r="C61" s="356" t="s">
        <v>907</v>
      </c>
      <c r="D61" s="232"/>
      <c r="E61" s="176" t="s">
        <v>908</v>
      </c>
      <c r="F61" s="351" t="s">
        <v>1080</v>
      </c>
      <c r="G61" s="187" t="s">
        <v>95</v>
      </c>
      <c r="H61" s="187" t="s">
        <v>9</v>
      </c>
      <c r="I61" s="188">
        <f>(2995000)/1000*$I$5</f>
        <v>2995</v>
      </c>
      <c r="J61" s="188">
        <f t="shared" si="1"/>
        <v>2995</v>
      </c>
      <c r="K61" s="358" t="s">
        <v>140</v>
      </c>
      <c r="L61" s="59"/>
    </row>
    <row r="62" spans="1:12" ht="48" customHeight="1" x14ac:dyDescent="0.2">
      <c r="A62" s="56" t="s">
        <v>166</v>
      </c>
      <c r="B62" s="277" t="s">
        <v>166</v>
      </c>
      <c r="C62" s="356" t="s">
        <v>263</v>
      </c>
      <c r="D62" s="232"/>
      <c r="E62" s="176" t="s">
        <v>909</v>
      </c>
      <c r="F62" s="358" t="s">
        <v>1081</v>
      </c>
      <c r="G62" s="187" t="s">
        <v>141</v>
      </c>
      <c r="H62" s="189" t="s">
        <v>910</v>
      </c>
      <c r="I62" s="188">
        <f>(4930000)/1000*$I$5</f>
        <v>4930</v>
      </c>
      <c r="J62" s="188">
        <f t="shared" si="1"/>
        <v>4930</v>
      </c>
      <c r="K62" s="358" t="s">
        <v>143</v>
      </c>
      <c r="L62" s="59"/>
    </row>
    <row r="63" spans="1:12" s="281" customFormat="1" ht="99.75" customHeight="1" x14ac:dyDescent="0.2">
      <c r="A63" s="277"/>
      <c r="B63" s="277" t="s">
        <v>167</v>
      </c>
      <c r="C63" s="297" t="s">
        <v>1506</v>
      </c>
      <c r="D63" s="286" t="s">
        <v>1534</v>
      </c>
      <c r="E63" s="278" t="s">
        <v>1504</v>
      </c>
      <c r="F63" s="367" t="s">
        <v>1515</v>
      </c>
      <c r="G63" s="277" t="s">
        <v>1505</v>
      </c>
      <c r="H63" s="284" t="s">
        <v>1491</v>
      </c>
      <c r="I63" s="279">
        <f>(1250000)/1000*$I$5</f>
        <v>1250</v>
      </c>
      <c r="J63" s="279">
        <f t="shared" si="1"/>
        <v>1250</v>
      </c>
      <c r="K63" s="367" t="s">
        <v>1507</v>
      </c>
      <c r="L63" s="283"/>
    </row>
    <row r="64" spans="1:12" s="281" customFormat="1" ht="124.5" customHeight="1" x14ac:dyDescent="0.2">
      <c r="A64" s="277"/>
      <c r="B64" s="277" t="s">
        <v>168</v>
      </c>
      <c r="C64" s="297" t="s">
        <v>1508</v>
      </c>
      <c r="D64" s="285"/>
      <c r="E64" s="278" t="s">
        <v>1511</v>
      </c>
      <c r="F64" s="367" t="s">
        <v>1510</v>
      </c>
      <c r="G64" s="277" t="s">
        <v>1512</v>
      </c>
      <c r="H64" s="284" t="s">
        <v>1513</v>
      </c>
      <c r="I64" s="279">
        <f>(9500000)/1000*$I$5</f>
        <v>9500</v>
      </c>
      <c r="J64" s="279">
        <f t="shared" si="1"/>
        <v>9500</v>
      </c>
      <c r="K64" s="367" t="s">
        <v>1509</v>
      </c>
      <c r="L64" s="283"/>
    </row>
    <row r="65" spans="1:14" s="281" customFormat="1" ht="101.25" customHeight="1" x14ac:dyDescent="0.2">
      <c r="A65" s="277"/>
      <c r="B65" s="277" t="s">
        <v>297</v>
      </c>
      <c r="C65" s="297" t="s">
        <v>1506</v>
      </c>
      <c r="D65" s="285"/>
      <c r="E65" s="278" t="s">
        <v>1516</v>
      </c>
      <c r="F65" s="367" t="s">
        <v>1514</v>
      </c>
      <c r="G65" s="277" t="s">
        <v>1519</v>
      </c>
      <c r="H65" s="284" t="s">
        <v>1520</v>
      </c>
      <c r="I65" s="279">
        <f>(1085000)/1000*$I$5</f>
        <v>1085</v>
      </c>
      <c r="J65" s="279">
        <f t="shared" si="1"/>
        <v>1085</v>
      </c>
      <c r="K65" s="367"/>
      <c r="L65" s="283"/>
    </row>
    <row r="66" spans="1:14" s="281" customFormat="1" ht="82.5" customHeight="1" x14ac:dyDescent="0.2">
      <c r="A66" s="277"/>
      <c r="B66" s="277" t="s">
        <v>306</v>
      </c>
      <c r="C66" s="297" t="s">
        <v>1524</v>
      </c>
      <c r="D66" s="630" t="s">
        <v>1533</v>
      </c>
      <c r="E66" s="278" t="s">
        <v>1521</v>
      </c>
      <c r="F66" s="367" t="s">
        <v>1523</v>
      </c>
      <c r="G66" s="277" t="s">
        <v>1522</v>
      </c>
      <c r="H66" s="284" t="s">
        <v>1522</v>
      </c>
      <c r="I66" s="279">
        <f>(930000)/1000*$I$5</f>
        <v>930</v>
      </c>
      <c r="J66" s="279">
        <f t="shared" si="1"/>
        <v>930</v>
      </c>
      <c r="K66" s="367"/>
      <c r="L66" s="283"/>
    </row>
    <row r="67" spans="1:14" s="281" customFormat="1" ht="102.75" customHeight="1" x14ac:dyDescent="0.2">
      <c r="A67" s="277"/>
      <c r="B67" s="277" t="s">
        <v>2568</v>
      </c>
      <c r="C67" s="297" t="s">
        <v>1529</v>
      </c>
      <c r="D67" s="630"/>
      <c r="E67" s="278" t="s">
        <v>1525</v>
      </c>
      <c r="F67" s="367" t="s">
        <v>1528</v>
      </c>
      <c r="G67" s="277" t="s">
        <v>1526</v>
      </c>
      <c r="H67" s="284" t="s">
        <v>1527</v>
      </c>
      <c r="I67" s="279">
        <f>(1600000)/1000*$I$5</f>
        <v>1600</v>
      </c>
      <c r="J67" s="279">
        <f t="shared" si="1"/>
        <v>1600</v>
      </c>
      <c r="K67" s="367"/>
      <c r="L67" s="283"/>
    </row>
    <row r="68" spans="1:14" ht="84" x14ac:dyDescent="0.2">
      <c r="A68" s="56" t="s">
        <v>167</v>
      </c>
      <c r="B68" s="277" t="s">
        <v>2569</v>
      </c>
      <c r="C68" s="356" t="s">
        <v>264</v>
      </c>
      <c r="D68" s="583" t="s">
        <v>1083</v>
      </c>
      <c r="E68" s="176" t="s">
        <v>1082</v>
      </c>
      <c r="F68" s="358" t="s">
        <v>1084</v>
      </c>
      <c r="G68" s="187" t="s">
        <v>86</v>
      </c>
      <c r="H68" s="187" t="s">
        <v>95</v>
      </c>
      <c r="I68" s="188">
        <f>(3048480)/1000*$I$5</f>
        <v>3048.48</v>
      </c>
      <c r="J68" s="188">
        <f t="shared" si="1"/>
        <v>3048.48</v>
      </c>
      <c r="K68" s="358" t="s">
        <v>144</v>
      </c>
      <c r="L68" s="59"/>
    </row>
    <row r="69" spans="1:14" ht="93.75" customHeight="1" x14ac:dyDescent="0.2">
      <c r="A69" s="56" t="s">
        <v>168</v>
      </c>
      <c r="B69" s="277" t="s">
        <v>2570</v>
      </c>
      <c r="C69" s="356" t="s">
        <v>265</v>
      </c>
      <c r="D69" s="583"/>
      <c r="E69" s="176" t="s">
        <v>916</v>
      </c>
      <c r="F69" s="358" t="s">
        <v>1085</v>
      </c>
      <c r="G69" s="187" t="s">
        <v>103</v>
      </c>
      <c r="H69" s="189" t="s">
        <v>915</v>
      </c>
      <c r="I69" s="188">
        <f>(3942141)/1000*$I$5</f>
        <v>3942.1410000000001</v>
      </c>
      <c r="J69" s="188">
        <f t="shared" si="1"/>
        <v>3942.1410000000001</v>
      </c>
      <c r="K69" s="358" t="s">
        <v>143</v>
      </c>
      <c r="L69" s="59"/>
    </row>
    <row r="70" spans="1:14" ht="145.5" customHeight="1" x14ac:dyDescent="0.2">
      <c r="A70" s="56" t="s">
        <v>297</v>
      </c>
      <c r="B70" s="277" t="s">
        <v>2571</v>
      </c>
      <c r="C70" s="356" t="s">
        <v>296</v>
      </c>
      <c r="D70" s="351" t="s">
        <v>1087</v>
      </c>
      <c r="E70" s="176" t="s">
        <v>911</v>
      </c>
      <c r="F70" s="358" t="s">
        <v>1086</v>
      </c>
      <c r="G70" s="187" t="s">
        <v>13</v>
      </c>
      <c r="H70" s="189" t="s">
        <v>48</v>
      </c>
      <c r="I70" s="188">
        <f>(1397275.21)/1000*$I$5</f>
        <v>1397.27521</v>
      </c>
      <c r="J70" s="188">
        <f t="shared" si="1"/>
        <v>1397.27521</v>
      </c>
      <c r="K70" s="358" t="s">
        <v>144</v>
      </c>
      <c r="L70" s="59"/>
    </row>
    <row r="71" spans="1:14" ht="144.75" customHeight="1" x14ac:dyDescent="0.2">
      <c r="A71" s="56" t="s">
        <v>306</v>
      </c>
      <c r="B71" s="277" t="s">
        <v>2572</v>
      </c>
      <c r="C71" s="356" t="s">
        <v>913</v>
      </c>
      <c r="D71" s="351" t="s">
        <v>1088</v>
      </c>
      <c r="E71" s="176" t="s">
        <v>912</v>
      </c>
      <c r="F71" s="358" t="s">
        <v>1089</v>
      </c>
      <c r="G71" s="187" t="s">
        <v>78</v>
      </c>
      <c r="H71" s="189" t="s">
        <v>52</v>
      </c>
      <c r="I71" s="188">
        <f>(1460000)/1000*$I$5</f>
        <v>1460</v>
      </c>
      <c r="J71" s="188">
        <f t="shared" si="1"/>
        <v>1460</v>
      </c>
      <c r="K71" s="358" t="s">
        <v>144</v>
      </c>
      <c r="L71" s="59"/>
    </row>
    <row r="72" spans="1:14" ht="48.75" customHeight="1" x14ac:dyDescent="0.2">
      <c r="A72" s="233" t="s">
        <v>186</v>
      </c>
      <c r="B72" s="376" t="s">
        <v>186</v>
      </c>
      <c r="C72" s="219" t="s">
        <v>799</v>
      </c>
      <c r="D72" s="230" t="s">
        <v>1090</v>
      </c>
      <c r="E72" s="182"/>
      <c r="F72" s="350"/>
      <c r="G72" s="353"/>
      <c r="H72" s="234"/>
      <c r="I72" s="196"/>
      <c r="J72" s="196"/>
      <c r="K72" s="357"/>
      <c r="L72" s="231"/>
    </row>
    <row r="73" spans="1:14" ht="104.25" customHeight="1" x14ac:dyDescent="0.2">
      <c r="A73" s="56" t="s">
        <v>173</v>
      </c>
      <c r="B73" s="277" t="s">
        <v>173</v>
      </c>
      <c r="C73" s="356" t="s">
        <v>919</v>
      </c>
      <c r="D73" s="351" t="s">
        <v>1091</v>
      </c>
      <c r="E73" s="176" t="s">
        <v>918</v>
      </c>
      <c r="F73" s="358" t="s">
        <v>1093</v>
      </c>
      <c r="G73" s="187" t="s">
        <v>25</v>
      </c>
      <c r="H73" s="189" t="s">
        <v>86</v>
      </c>
      <c r="I73" s="188">
        <f>(5990000)/1000*$I$5</f>
        <v>5990</v>
      </c>
      <c r="J73" s="188">
        <f>I73-(2790000)/1000*$I$5</f>
        <v>3200</v>
      </c>
      <c r="K73" s="358" t="s">
        <v>184</v>
      </c>
      <c r="L73" s="59"/>
    </row>
    <row r="74" spans="1:14" ht="108" x14ac:dyDescent="0.2">
      <c r="A74" s="56" t="s">
        <v>187</v>
      </c>
      <c r="B74" s="277" t="s">
        <v>187</v>
      </c>
      <c r="C74" s="356" t="s">
        <v>921</v>
      </c>
      <c r="D74" s="351" t="s">
        <v>1092</v>
      </c>
      <c r="E74" s="176" t="s">
        <v>920</v>
      </c>
      <c r="F74" s="358" t="s">
        <v>1094</v>
      </c>
      <c r="G74" s="189" t="s">
        <v>86</v>
      </c>
      <c r="H74" s="189" t="s">
        <v>139</v>
      </c>
      <c r="I74" s="188">
        <f>(6100000)/1000*$I$5</f>
        <v>6100</v>
      </c>
      <c r="J74" s="188">
        <f>I74-(2790)/1000*$I$5</f>
        <v>6097.21</v>
      </c>
      <c r="K74" s="358" t="s">
        <v>185</v>
      </c>
      <c r="L74" s="59"/>
    </row>
    <row r="75" spans="1:14" s="281" customFormat="1" ht="84" customHeight="1" x14ac:dyDescent="0.2">
      <c r="A75" s="277"/>
      <c r="B75" s="277" t="s">
        <v>188</v>
      </c>
      <c r="C75" s="297" t="s">
        <v>1540</v>
      </c>
      <c r="D75" s="630" t="s">
        <v>1537</v>
      </c>
      <c r="E75" s="278" t="s">
        <v>1531</v>
      </c>
      <c r="F75" s="367" t="s">
        <v>1539</v>
      </c>
      <c r="G75" s="284" t="s">
        <v>20</v>
      </c>
      <c r="H75" s="284" t="s">
        <v>19</v>
      </c>
      <c r="I75" s="279">
        <f>(1700000)/1000*$I$5</f>
        <v>1700</v>
      </c>
      <c r="J75" s="279">
        <f>I75-(0)/1000*$I$5</f>
        <v>1700</v>
      </c>
      <c r="K75" s="367"/>
      <c r="L75" s="283"/>
    </row>
    <row r="76" spans="1:14" s="281" customFormat="1" ht="120" x14ac:dyDescent="0.2">
      <c r="A76" s="277"/>
      <c r="B76" s="277" t="s">
        <v>2573</v>
      </c>
      <c r="C76" s="297" t="s">
        <v>1532</v>
      </c>
      <c r="D76" s="630"/>
      <c r="E76" s="278" t="s">
        <v>1530</v>
      </c>
      <c r="F76" s="367" t="s">
        <v>1538</v>
      </c>
      <c r="G76" s="284" t="s">
        <v>531</v>
      </c>
      <c r="H76" s="284" t="s">
        <v>17</v>
      </c>
      <c r="I76" s="279">
        <f>(3048646)/1000*$I$5</f>
        <v>3048.6460000000002</v>
      </c>
      <c r="J76" s="279">
        <f>I76-(0)/1000*$I$5</f>
        <v>3048.6460000000002</v>
      </c>
      <c r="K76" s="367"/>
      <c r="L76" s="283"/>
    </row>
    <row r="77" spans="1:14" ht="165.75" customHeight="1" x14ac:dyDescent="0.2">
      <c r="A77" s="75" t="s">
        <v>188</v>
      </c>
      <c r="B77" s="277" t="s">
        <v>2574</v>
      </c>
      <c r="C77" s="363" t="s">
        <v>922</v>
      </c>
      <c r="D77" s="352" t="s">
        <v>1095</v>
      </c>
      <c r="E77" s="181" t="s">
        <v>923</v>
      </c>
      <c r="F77" s="358" t="s">
        <v>1096</v>
      </c>
      <c r="G77" s="354" t="s">
        <v>46</v>
      </c>
      <c r="H77" s="236" t="s">
        <v>48</v>
      </c>
      <c r="I77" s="193">
        <f>(22567584.09)/1000*$I$5</f>
        <v>22567.58409</v>
      </c>
      <c r="J77" s="193">
        <f>I77-(1513641+2800000+165000)/1000*$I$5</f>
        <v>18088.943090000001</v>
      </c>
      <c r="K77" s="359" t="s">
        <v>189</v>
      </c>
      <c r="L77" s="228"/>
    </row>
    <row r="78" spans="1:14" ht="52.5" customHeight="1" x14ac:dyDescent="0.2">
      <c r="A78" s="233" t="s">
        <v>190</v>
      </c>
      <c r="B78" s="376" t="s">
        <v>190</v>
      </c>
      <c r="C78" s="219" t="s">
        <v>307</v>
      </c>
      <c r="D78" s="582" t="s">
        <v>1097</v>
      </c>
      <c r="E78" s="176"/>
      <c r="F78" s="350"/>
      <c r="G78" s="187"/>
      <c r="H78" s="189"/>
      <c r="I78" s="188"/>
      <c r="J78" s="188"/>
      <c r="K78" s="358"/>
      <c r="L78" s="59"/>
    </row>
    <row r="79" spans="1:14" ht="81" customHeight="1" x14ac:dyDescent="0.2">
      <c r="A79" s="56" t="s">
        <v>191</v>
      </c>
      <c r="B79" s="277" t="s">
        <v>191</v>
      </c>
      <c r="C79" s="356" t="s">
        <v>924</v>
      </c>
      <c r="D79" s="583"/>
      <c r="E79" s="176" t="s">
        <v>928</v>
      </c>
      <c r="F79" s="358" t="s">
        <v>924</v>
      </c>
      <c r="G79" s="187" t="s">
        <v>223</v>
      </c>
      <c r="H79" s="189" t="s">
        <v>1737</v>
      </c>
      <c r="I79" s="188">
        <f>(648433534.63)/1000*$I$5</f>
        <v>648433.53463000001</v>
      </c>
      <c r="J79" s="188">
        <f>I79-(4769735+3069504.4+251907)/1000*$I$5</f>
        <v>640342.38823000004</v>
      </c>
      <c r="K79" s="358" t="s">
        <v>224</v>
      </c>
      <c r="L79" s="59"/>
      <c r="M79" s="60" t="s">
        <v>657</v>
      </c>
      <c r="N79" s="60">
        <v>647023052.63</v>
      </c>
    </row>
    <row r="80" spans="1:14" ht="81.75" customHeight="1" x14ac:dyDescent="0.2">
      <c r="A80" s="56" t="s">
        <v>192</v>
      </c>
      <c r="B80" s="277" t="s">
        <v>192</v>
      </c>
      <c r="C80" s="356" t="s">
        <v>926</v>
      </c>
      <c r="D80" s="232"/>
      <c r="E80" s="176" t="s">
        <v>927</v>
      </c>
      <c r="F80" s="351" t="s">
        <v>1099</v>
      </c>
      <c r="G80" s="187" t="s">
        <v>31</v>
      </c>
      <c r="H80" s="187" t="s">
        <v>11</v>
      </c>
      <c r="I80" s="188">
        <f>(263049495)/1000*$I$5</f>
        <v>263049.495</v>
      </c>
      <c r="J80" s="188">
        <f>I80-(3429672+4392871+1527542)/1000*$I$5</f>
        <v>253699.41</v>
      </c>
      <c r="K80" s="358" t="s">
        <v>225</v>
      </c>
      <c r="L80" s="59"/>
    </row>
    <row r="81" spans="1:14" ht="60" x14ac:dyDescent="0.2">
      <c r="A81" s="56" t="s">
        <v>193</v>
      </c>
      <c r="B81" s="277" t="s">
        <v>193</v>
      </c>
      <c r="C81" s="356" t="s">
        <v>226</v>
      </c>
      <c r="D81" s="232"/>
      <c r="E81" s="176" t="s">
        <v>659</v>
      </c>
      <c r="F81" s="351" t="s">
        <v>1100</v>
      </c>
      <c r="G81" s="187" t="s">
        <v>227</v>
      </c>
      <c r="H81" s="189" t="s">
        <v>638</v>
      </c>
      <c r="I81" s="188">
        <f>(1071063203.31+1884095.47)/1000*$I$5</f>
        <v>1072947.2987800001</v>
      </c>
      <c r="J81" s="188">
        <f>I81-(213273640+1475718+31875722+14558003+15523386+31999188+33739055+9912986)/1000*$I$5</f>
        <v>720589.6007800001</v>
      </c>
      <c r="K81" s="358" t="s">
        <v>185</v>
      </c>
      <c r="L81" s="59"/>
      <c r="M81" s="60" t="s">
        <v>659</v>
      </c>
      <c r="N81" s="60">
        <v>1071063203.3099999</v>
      </c>
    </row>
    <row r="82" spans="1:14" ht="30" customHeight="1" x14ac:dyDescent="0.2">
      <c r="A82" s="56" t="s">
        <v>194</v>
      </c>
      <c r="B82" s="277" t="s">
        <v>194</v>
      </c>
      <c r="C82" s="356" t="s">
        <v>228</v>
      </c>
      <c r="D82" s="232"/>
      <c r="E82" s="176" t="s">
        <v>662</v>
      </c>
      <c r="F82" s="351" t="s">
        <v>1101</v>
      </c>
      <c r="G82" s="187" t="s">
        <v>13</v>
      </c>
      <c r="H82" s="189" t="s">
        <v>1102</v>
      </c>
      <c r="I82" s="188">
        <f>(580672306.54)/1000*$I$5</f>
        <v>580672.30654000002</v>
      </c>
      <c r="J82" s="188">
        <f>I82-(131445396+7611196+8912693+1312680)/1000*$I$5</f>
        <v>431390.34154000005</v>
      </c>
      <c r="K82" s="358" t="s">
        <v>229</v>
      </c>
      <c r="L82" s="59"/>
      <c r="M82" s="60" t="s">
        <v>662</v>
      </c>
      <c r="N82" s="60">
        <v>579856493.53999996</v>
      </c>
    </row>
    <row r="83" spans="1:14" ht="76.5" customHeight="1" x14ac:dyDescent="0.2">
      <c r="A83" s="56" t="s">
        <v>195</v>
      </c>
      <c r="B83" s="277" t="s">
        <v>195</v>
      </c>
      <c r="C83" s="356" t="s">
        <v>929</v>
      </c>
      <c r="D83" s="583" t="s">
        <v>1968</v>
      </c>
      <c r="E83" s="176" t="s">
        <v>663</v>
      </c>
      <c r="F83" s="351" t="s">
        <v>1104</v>
      </c>
      <c r="G83" s="187" t="s">
        <v>61</v>
      </c>
      <c r="H83" s="189" t="s">
        <v>1961</v>
      </c>
      <c r="I83" s="188">
        <f>(92498597.83)/1000*$I$5</f>
        <v>92498.597829999999</v>
      </c>
      <c r="J83" s="188">
        <f>I83-(1786257+876476)/1000*$I$5</f>
        <v>89835.864830000006</v>
      </c>
      <c r="K83" s="358" t="s">
        <v>237</v>
      </c>
      <c r="L83" s="59"/>
      <c r="M83" s="60" t="s">
        <v>663</v>
      </c>
    </row>
    <row r="84" spans="1:14" ht="36" x14ac:dyDescent="0.2">
      <c r="A84" s="56" t="s">
        <v>196</v>
      </c>
      <c r="B84" s="277" t="s">
        <v>196</v>
      </c>
      <c r="C84" s="356" t="s">
        <v>238</v>
      </c>
      <c r="D84" s="583"/>
      <c r="E84" s="176" t="s">
        <v>665</v>
      </c>
      <c r="F84" s="356" t="s">
        <v>238</v>
      </c>
      <c r="G84" s="187" t="s">
        <v>103</v>
      </c>
      <c r="H84" s="284" t="s">
        <v>1737</v>
      </c>
      <c r="I84" s="188">
        <f>(32773443)/1000*$I$5</f>
        <v>32773.442999999999</v>
      </c>
      <c r="J84" s="188">
        <f>I84-(0)/1000*$I$5</f>
        <v>32773.442999999999</v>
      </c>
      <c r="K84" s="358" t="s">
        <v>239</v>
      </c>
      <c r="L84" s="59"/>
      <c r="M84" s="60" t="s">
        <v>665</v>
      </c>
    </row>
    <row r="85" spans="1:14" s="281" customFormat="1" ht="52.5" customHeight="1" x14ac:dyDescent="0.2">
      <c r="A85" s="277"/>
      <c r="B85" s="277" t="s">
        <v>197</v>
      </c>
      <c r="C85" s="297" t="s">
        <v>1974</v>
      </c>
      <c r="D85" s="630" t="s">
        <v>1969</v>
      </c>
      <c r="E85" s="278" t="s">
        <v>1970</v>
      </c>
      <c r="F85" s="297" t="s">
        <v>1971</v>
      </c>
      <c r="G85" s="277" t="s">
        <v>20</v>
      </c>
      <c r="H85" s="284" t="s">
        <v>17</v>
      </c>
      <c r="I85" s="279">
        <f>(3516949)/1000*$I$5</f>
        <v>3516.9490000000001</v>
      </c>
      <c r="J85" s="279">
        <f>I85-(0)/1000*$I$5</f>
        <v>3516.9490000000001</v>
      </c>
      <c r="K85" s="367"/>
      <c r="L85" s="283"/>
    </row>
    <row r="86" spans="1:14" s="281" customFormat="1" ht="66" customHeight="1" x14ac:dyDescent="0.2">
      <c r="A86" s="277"/>
      <c r="B86" s="277" t="s">
        <v>198</v>
      </c>
      <c r="C86" s="297" t="s">
        <v>1975</v>
      </c>
      <c r="D86" s="630"/>
      <c r="E86" s="278" t="s">
        <v>1973</v>
      </c>
      <c r="F86" s="297" t="s">
        <v>1972</v>
      </c>
      <c r="G86" s="277" t="s">
        <v>18</v>
      </c>
      <c r="H86" s="284" t="s">
        <v>1591</v>
      </c>
      <c r="I86" s="279">
        <f>(16488747.5)/1000*$I$5</f>
        <v>16488.747500000001</v>
      </c>
      <c r="J86" s="279">
        <f>I86-(0)/1000*$I$5</f>
        <v>16488.747500000001</v>
      </c>
      <c r="K86" s="367"/>
      <c r="L86" s="283"/>
    </row>
    <row r="87" spans="1:14" s="281" customFormat="1" ht="108" x14ac:dyDescent="0.2">
      <c r="A87" s="277"/>
      <c r="B87" s="277" t="s">
        <v>199</v>
      </c>
      <c r="C87" s="297" t="s">
        <v>1977</v>
      </c>
      <c r="D87" s="367"/>
      <c r="E87" s="278" t="s">
        <v>1976</v>
      </c>
      <c r="F87" s="297" t="s">
        <v>1978</v>
      </c>
      <c r="G87" s="277" t="s">
        <v>63</v>
      </c>
      <c r="H87" s="284" t="s">
        <v>1586</v>
      </c>
      <c r="I87" s="279">
        <f>(22181987)/1000*$I$5</f>
        <v>22181.987000000001</v>
      </c>
      <c r="J87" s="279">
        <f>I87-(0)/1000*$I$5</f>
        <v>22181.987000000001</v>
      </c>
      <c r="K87" s="367"/>
      <c r="L87" s="283"/>
    </row>
    <row r="88" spans="1:14" s="281" customFormat="1" ht="73.5" customHeight="1" x14ac:dyDescent="0.2">
      <c r="A88" s="277"/>
      <c r="B88" s="277" t="s">
        <v>200</v>
      </c>
      <c r="C88" s="297" t="s">
        <v>1980</v>
      </c>
      <c r="D88" s="367" t="s">
        <v>1981</v>
      </c>
      <c r="E88" s="278" t="s">
        <v>1979</v>
      </c>
      <c r="F88" s="297" t="s">
        <v>1980</v>
      </c>
      <c r="G88" s="277" t="s">
        <v>872</v>
      </c>
      <c r="H88" s="284" t="s">
        <v>1579</v>
      </c>
      <c r="I88" s="279">
        <f>(2237655)/1000*$I$5</f>
        <v>2237.6550000000002</v>
      </c>
      <c r="J88" s="279">
        <f>I88-(952470.43)/1000*$I$5</f>
        <v>1285.1845700000001</v>
      </c>
      <c r="K88" s="367"/>
      <c r="L88" s="283"/>
    </row>
    <row r="89" spans="1:14" ht="68.25" customHeight="1" x14ac:dyDescent="0.2">
      <c r="A89" s="56" t="s">
        <v>197</v>
      </c>
      <c r="B89" s="277" t="s">
        <v>201</v>
      </c>
      <c r="C89" s="356" t="s">
        <v>1109</v>
      </c>
      <c r="D89" s="351" t="s">
        <v>1107</v>
      </c>
      <c r="E89" s="176" t="s">
        <v>930</v>
      </c>
      <c r="F89" s="356" t="s">
        <v>1108</v>
      </c>
      <c r="G89" s="187" t="s">
        <v>35</v>
      </c>
      <c r="H89" s="187" t="s">
        <v>230</v>
      </c>
      <c r="I89" s="188">
        <f>(11102044)/1000*$I$5</f>
        <v>11102.044</v>
      </c>
      <c r="J89" s="188">
        <f t="shared" ref="J89:J97" si="2">I89-(0)/1000*$I$5</f>
        <v>11102.044</v>
      </c>
      <c r="K89" s="358" t="s">
        <v>335</v>
      </c>
      <c r="L89" s="59"/>
    </row>
    <row r="90" spans="1:14" ht="52.5" customHeight="1" x14ac:dyDescent="0.2">
      <c r="A90" s="56" t="s">
        <v>198</v>
      </c>
      <c r="B90" s="277" t="s">
        <v>202</v>
      </c>
      <c r="C90" s="356" t="s">
        <v>932</v>
      </c>
      <c r="D90" s="583" t="s">
        <v>1112</v>
      </c>
      <c r="E90" s="176" t="s">
        <v>933</v>
      </c>
      <c r="F90" s="356" t="s">
        <v>1110</v>
      </c>
      <c r="G90" s="187" t="s">
        <v>61</v>
      </c>
      <c r="H90" s="187" t="s">
        <v>61</v>
      </c>
      <c r="I90" s="188">
        <f>(1441492)/1000*$I$5</f>
        <v>1441.492</v>
      </c>
      <c r="J90" s="188">
        <f t="shared" si="2"/>
        <v>1441.492</v>
      </c>
      <c r="K90" s="358" t="s">
        <v>235</v>
      </c>
      <c r="L90" s="59"/>
    </row>
    <row r="91" spans="1:14" ht="45.75" customHeight="1" x14ac:dyDescent="0.2">
      <c r="A91" s="56" t="s">
        <v>199</v>
      </c>
      <c r="B91" s="277" t="s">
        <v>203</v>
      </c>
      <c r="C91" s="356" t="s">
        <v>240</v>
      </c>
      <c r="D91" s="583"/>
      <c r="E91" s="176" t="s">
        <v>1962</v>
      </c>
      <c r="F91" s="356" t="s">
        <v>1111</v>
      </c>
      <c r="G91" s="187" t="s">
        <v>62</v>
      </c>
      <c r="H91" s="187" t="s">
        <v>16</v>
      </c>
      <c r="I91" s="188">
        <f>(2545771)/1000*$I$5</f>
        <v>2545.7710000000002</v>
      </c>
      <c r="J91" s="188">
        <f t="shared" si="2"/>
        <v>2545.7710000000002</v>
      </c>
      <c r="K91" s="358" t="s">
        <v>241</v>
      </c>
      <c r="L91" s="59"/>
    </row>
    <row r="92" spans="1:14" s="281" customFormat="1" ht="45.75" customHeight="1" x14ac:dyDescent="0.2">
      <c r="A92" s="277"/>
      <c r="B92" s="277" t="s">
        <v>204</v>
      </c>
      <c r="C92" s="297" t="s">
        <v>1967</v>
      </c>
      <c r="D92" s="367"/>
      <c r="E92" s="278" t="s">
        <v>1963</v>
      </c>
      <c r="F92" s="297" t="s">
        <v>1965</v>
      </c>
      <c r="G92" s="277" t="s">
        <v>21</v>
      </c>
      <c r="H92" s="277" t="s">
        <v>21</v>
      </c>
      <c r="I92" s="279">
        <f>(746070)/1000*$I$5</f>
        <v>746.07</v>
      </c>
      <c r="J92" s="279">
        <f t="shared" si="2"/>
        <v>746.07</v>
      </c>
      <c r="K92" s="367" t="s">
        <v>2943</v>
      </c>
      <c r="L92" s="283"/>
    </row>
    <row r="93" spans="1:14" s="281" customFormat="1" ht="62.25" customHeight="1" x14ac:dyDescent="0.2">
      <c r="A93" s="277"/>
      <c r="B93" s="277" t="s">
        <v>205</v>
      </c>
      <c r="C93" s="297" t="s">
        <v>1982</v>
      </c>
      <c r="D93" s="367"/>
      <c r="E93" s="278" t="s">
        <v>1964</v>
      </c>
      <c r="F93" s="297" t="s">
        <v>1966</v>
      </c>
      <c r="G93" s="277" t="s">
        <v>531</v>
      </c>
      <c r="H93" s="277" t="s">
        <v>15</v>
      </c>
      <c r="I93" s="279">
        <f>(12551445)/1000*$I$5</f>
        <v>12551.445</v>
      </c>
      <c r="J93" s="279">
        <f t="shared" si="2"/>
        <v>12551.445</v>
      </c>
      <c r="K93" s="367" t="s">
        <v>2944</v>
      </c>
      <c r="L93" s="283"/>
    </row>
    <row r="94" spans="1:14" s="281" customFormat="1" ht="62.25" customHeight="1" x14ac:dyDescent="0.2">
      <c r="A94" s="277"/>
      <c r="B94" s="277" t="s">
        <v>206</v>
      </c>
      <c r="C94" s="297" t="s">
        <v>1985</v>
      </c>
      <c r="D94" s="630" t="s">
        <v>234</v>
      </c>
      <c r="E94" s="278" t="s">
        <v>1983</v>
      </c>
      <c r="F94" s="297" t="s">
        <v>1984</v>
      </c>
      <c r="G94" s="277" t="s">
        <v>610</v>
      </c>
      <c r="H94" s="277" t="s">
        <v>872</v>
      </c>
      <c r="I94" s="279">
        <f>(4507625)/1000*$I$5</f>
        <v>4507.625</v>
      </c>
      <c r="J94" s="279">
        <f t="shared" si="2"/>
        <v>4507.625</v>
      </c>
      <c r="K94" s="370" t="s">
        <v>2944</v>
      </c>
      <c r="L94" s="283"/>
    </row>
    <row r="95" spans="1:14" s="281" customFormat="1" ht="91.5" customHeight="1" x14ac:dyDescent="0.2">
      <c r="A95" s="277"/>
      <c r="B95" s="277" t="s">
        <v>207</v>
      </c>
      <c r="C95" s="297" t="s">
        <v>1988</v>
      </c>
      <c r="D95" s="583"/>
      <c r="E95" s="278" t="s">
        <v>1986</v>
      </c>
      <c r="F95" s="297" t="s">
        <v>1987</v>
      </c>
      <c r="G95" s="277" t="s">
        <v>872</v>
      </c>
      <c r="H95" s="277" t="s">
        <v>638</v>
      </c>
      <c r="I95" s="279">
        <f>(508398.86)/1000*$I$5</f>
        <v>508.39886000000001</v>
      </c>
      <c r="J95" s="279">
        <f t="shared" si="2"/>
        <v>508.39886000000001</v>
      </c>
      <c r="K95" s="367" t="s">
        <v>2945</v>
      </c>
      <c r="L95" s="283"/>
    </row>
    <row r="96" spans="1:14" ht="144" x14ac:dyDescent="0.2">
      <c r="A96" s="56" t="s">
        <v>200</v>
      </c>
      <c r="B96" s="277" t="s">
        <v>668</v>
      </c>
      <c r="C96" s="356" t="s">
        <v>1115</v>
      </c>
      <c r="D96" s="358" t="s">
        <v>1113</v>
      </c>
      <c r="E96" s="226" t="s">
        <v>938</v>
      </c>
      <c r="F96" s="358" t="s">
        <v>1138</v>
      </c>
      <c r="G96" s="187" t="s">
        <v>8</v>
      </c>
      <c r="H96" s="187" t="s">
        <v>9</v>
      </c>
      <c r="I96" s="188">
        <f>(33456472)/1000*$I$5</f>
        <v>33456.472000000002</v>
      </c>
      <c r="J96" s="188">
        <f t="shared" si="2"/>
        <v>33456.472000000002</v>
      </c>
      <c r="K96" s="358" t="s">
        <v>936</v>
      </c>
      <c r="L96" s="59"/>
    </row>
    <row r="97" spans="1:14" ht="132" x14ac:dyDescent="0.2">
      <c r="A97" s="56" t="s">
        <v>201</v>
      </c>
      <c r="B97" s="277" t="s">
        <v>2575</v>
      </c>
      <c r="C97" s="356" t="s">
        <v>940</v>
      </c>
      <c r="D97" s="358" t="s">
        <v>1116</v>
      </c>
      <c r="E97" s="226" t="s">
        <v>546</v>
      </c>
      <c r="F97" s="358" t="s">
        <v>1114</v>
      </c>
      <c r="G97" s="187" t="s">
        <v>48</v>
      </c>
      <c r="H97" s="187" t="s">
        <v>9</v>
      </c>
      <c r="I97" s="188">
        <f>(96537111)/1000*$I$5</f>
        <v>96537.111000000004</v>
      </c>
      <c r="J97" s="188">
        <f t="shared" si="2"/>
        <v>96537.111000000004</v>
      </c>
      <c r="K97" s="358" t="s">
        <v>545</v>
      </c>
      <c r="L97" s="59"/>
      <c r="M97" s="60" t="s">
        <v>546</v>
      </c>
    </row>
    <row r="98" spans="1:14" ht="96" x14ac:dyDescent="0.2">
      <c r="A98" s="56" t="s">
        <v>202</v>
      </c>
      <c r="B98" s="277" t="s">
        <v>2576</v>
      </c>
      <c r="C98" s="325" t="s">
        <v>942</v>
      </c>
      <c r="D98" s="358" t="s">
        <v>1180</v>
      </c>
      <c r="E98" s="176" t="s">
        <v>944</v>
      </c>
      <c r="F98" s="358" t="s">
        <v>1117</v>
      </c>
      <c r="G98" s="187" t="s">
        <v>13</v>
      </c>
      <c r="H98" s="187" t="s">
        <v>181</v>
      </c>
      <c r="I98" s="188">
        <f>(28683341.69)/1000*$I$5</f>
        <v>28683.341690000001</v>
      </c>
      <c r="J98" s="188">
        <f>I98-(5640762+8136815)/1000*$I$5</f>
        <v>14905.764690000002</v>
      </c>
      <c r="K98" s="358" t="s">
        <v>34</v>
      </c>
      <c r="L98" s="59"/>
    </row>
    <row r="99" spans="1:14" ht="48" x14ac:dyDescent="0.2">
      <c r="A99" s="56" t="s">
        <v>203</v>
      </c>
      <c r="B99" s="277" t="s">
        <v>2577</v>
      </c>
      <c r="C99" s="325" t="s">
        <v>945</v>
      </c>
      <c r="D99" s="351" t="s">
        <v>337</v>
      </c>
      <c r="E99" s="176" t="s">
        <v>946</v>
      </c>
      <c r="F99" s="358" t="s">
        <v>1118</v>
      </c>
      <c r="G99" s="187" t="s">
        <v>8</v>
      </c>
      <c r="H99" s="187" t="s">
        <v>295</v>
      </c>
      <c r="I99" s="188">
        <f>(2645492)/1000*$I$5</f>
        <v>2645.4920000000002</v>
      </c>
      <c r="J99" s="188">
        <f>I99-(0)/1000*$I$5</f>
        <v>2645.4920000000002</v>
      </c>
      <c r="K99" s="358" t="s">
        <v>294</v>
      </c>
      <c r="L99" s="59"/>
    </row>
    <row r="100" spans="1:14" ht="80.25" customHeight="1" x14ac:dyDescent="0.2">
      <c r="A100" s="56" t="s">
        <v>204</v>
      </c>
      <c r="B100" s="277" t="s">
        <v>2578</v>
      </c>
      <c r="C100" s="325" t="s">
        <v>299</v>
      </c>
      <c r="D100" s="351" t="s">
        <v>1181</v>
      </c>
      <c r="E100" s="176" t="s">
        <v>950</v>
      </c>
      <c r="F100" s="358" t="s">
        <v>951</v>
      </c>
      <c r="G100" s="187" t="s">
        <v>36</v>
      </c>
      <c r="H100" s="187" t="s">
        <v>37</v>
      </c>
      <c r="I100" s="188">
        <v>8400</v>
      </c>
      <c r="J100" s="188">
        <v>8400</v>
      </c>
      <c r="K100" s="358" t="s">
        <v>38</v>
      </c>
      <c r="L100" s="59"/>
      <c r="M100" s="60">
        <v>3</v>
      </c>
    </row>
    <row r="101" spans="1:14" ht="112.5" customHeight="1" x14ac:dyDescent="0.2">
      <c r="A101" s="56" t="s">
        <v>205</v>
      </c>
      <c r="B101" s="277" t="s">
        <v>2579</v>
      </c>
      <c r="C101" s="356" t="s">
        <v>23</v>
      </c>
      <c r="D101" s="351" t="s">
        <v>1119</v>
      </c>
      <c r="E101" s="176" t="s">
        <v>947</v>
      </c>
      <c r="F101" s="358" t="s">
        <v>1120</v>
      </c>
      <c r="G101" s="187" t="s">
        <v>12</v>
      </c>
      <c r="H101" s="187" t="s">
        <v>25</v>
      </c>
      <c r="I101" s="188">
        <f>(6953730.8)/1000*$I$5</f>
        <v>6953.7307999999994</v>
      </c>
      <c r="J101" s="188">
        <f t="shared" ref="J101:J122" si="3">I101-(0)/1000*$I$5</f>
        <v>6953.7307999999994</v>
      </c>
      <c r="K101" s="358" t="s">
        <v>948</v>
      </c>
      <c r="L101" s="59"/>
      <c r="M101" s="60" t="s">
        <v>947</v>
      </c>
      <c r="N101" s="60">
        <v>68</v>
      </c>
    </row>
    <row r="102" spans="1:14" ht="67.5" customHeight="1" x14ac:dyDescent="0.2">
      <c r="A102" s="56" t="s">
        <v>206</v>
      </c>
      <c r="B102" s="277" t="s">
        <v>2580</v>
      </c>
      <c r="C102" s="356" t="s">
        <v>300</v>
      </c>
      <c r="D102" s="351" t="s">
        <v>302</v>
      </c>
      <c r="E102" s="176" t="s">
        <v>952</v>
      </c>
      <c r="F102" s="358" t="s">
        <v>1121</v>
      </c>
      <c r="G102" s="187" t="s">
        <v>5</v>
      </c>
      <c r="H102" s="187" t="s">
        <v>7</v>
      </c>
      <c r="I102" s="188">
        <f>(3599389.4/1.18)/1000*$I$5</f>
        <v>3050.33</v>
      </c>
      <c r="J102" s="188">
        <f t="shared" si="3"/>
        <v>3050.33</v>
      </c>
      <c r="K102" s="358" t="s">
        <v>301</v>
      </c>
      <c r="L102" s="59"/>
    </row>
    <row r="103" spans="1:14" ht="81.75" customHeight="1" x14ac:dyDescent="0.2">
      <c r="A103" s="56" t="s">
        <v>207</v>
      </c>
      <c r="B103" s="277" t="s">
        <v>2581</v>
      </c>
      <c r="C103" s="356" t="s">
        <v>303</v>
      </c>
      <c r="D103" s="351" t="s">
        <v>305</v>
      </c>
      <c r="E103" s="176" t="s">
        <v>622</v>
      </c>
      <c r="F103" s="358" t="s">
        <v>1122</v>
      </c>
      <c r="G103" s="187" t="s">
        <v>139</v>
      </c>
      <c r="H103" s="187" t="s">
        <v>211</v>
      </c>
      <c r="I103" s="188">
        <f>(5412330)/1000*$I$5</f>
        <v>5412.33</v>
      </c>
      <c r="J103" s="188">
        <f t="shared" si="3"/>
        <v>5412.33</v>
      </c>
      <c r="K103" s="358" t="s">
        <v>304</v>
      </c>
      <c r="L103" s="59"/>
      <c r="M103" s="60" t="s">
        <v>622</v>
      </c>
    </row>
    <row r="104" spans="1:14" s="281" customFormat="1" ht="81.75" customHeight="1" x14ac:dyDescent="0.2">
      <c r="A104" s="277"/>
      <c r="B104" s="277" t="s">
        <v>2582</v>
      </c>
      <c r="C104" s="297" t="s">
        <v>2218</v>
      </c>
      <c r="D104" s="367" t="s">
        <v>2222</v>
      </c>
      <c r="E104" s="278" t="s">
        <v>2221</v>
      </c>
      <c r="F104" s="367" t="s">
        <v>2219</v>
      </c>
      <c r="G104" s="277" t="s">
        <v>19</v>
      </c>
      <c r="H104" s="284" t="s">
        <v>638</v>
      </c>
      <c r="I104" s="279">
        <f>(381253)/1000*$I$5</f>
        <v>381.25299999999999</v>
      </c>
      <c r="J104" s="279">
        <f t="shared" si="3"/>
        <v>381.25299999999999</v>
      </c>
      <c r="K104" s="367" t="s">
        <v>2220</v>
      </c>
      <c r="L104" s="283"/>
    </row>
    <row r="105" spans="1:14" s="281" customFormat="1" ht="108" x14ac:dyDescent="0.2">
      <c r="A105" s="277"/>
      <c r="B105" s="277" t="s">
        <v>2583</v>
      </c>
      <c r="C105" s="297" t="s">
        <v>2360</v>
      </c>
      <c r="D105" s="367" t="s">
        <v>2363</v>
      </c>
      <c r="E105" s="278" t="s">
        <v>2362</v>
      </c>
      <c r="F105" s="367" t="s">
        <v>2359</v>
      </c>
      <c r="G105" s="277" t="s">
        <v>1591</v>
      </c>
      <c r="H105" s="284" t="s">
        <v>1579</v>
      </c>
      <c r="I105" s="279">
        <f>(501341)/1000*$I$5</f>
        <v>501.34100000000001</v>
      </c>
      <c r="J105" s="279">
        <f t="shared" si="3"/>
        <v>501.34100000000001</v>
      </c>
      <c r="K105" s="367" t="s">
        <v>2361</v>
      </c>
      <c r="L105" s="283"/>
    </row>
    <row r="106" spans="1:14" s="281" customFormat="1" ht="81.75" customHeight="1" x14ac:dyDescent="0.2">
      <c r="A106" s="277"/>
      <c r="B106" s="277" t="s">
        <v>2584</v>
      </c>
      <c r="C106" s="634" t="s">
        <v>2367</v>
      </c>
      <c r="D106" s="630" t="s">
        <v>2364</v>
      </c>
      <c r="E106" s="278" t="s">
        <v>2365</v>
      </c>
      <c r="F106" s="367" t="s">
        <v>2366</v>
      </c>
      <c r="G106" s="277" t="s">
        <v>1591</v>
      </c>
      <c r="H106" s="284" t="s">
        <v>1520</v>
      </c>
      <c r="I106" s="279">
        <f>(1711227)/1000*$I$5</f>
        <v>1711.2270000000001</v>
      </c>
      <c r="J106" s="279">
        <f t="shared" si="3"/>
        <v>1711.2270000000001</v>
      </c>
      <c r="K106" s="367" t="s">
        <v>2371</v>
      </c>
      <c r="L106" s="283"/>
    </row>
    <row r="107" spans="1:14" s="281" customFormat="1" ht="81.75" customHeight="1" x14ac:dyDescent="0.2">
      <c r="A107" s="277"/>
      <c r="B107" s="277" t="s">
        <v>2585</v>
      </c>
      <c r="C107" s="634"/>
      <c r="D107" s="630"/>
      <c r="E107" s="278" t="s">
        <v>2370</v>
      </c>
      <c r="F107" s="367" t="s">
        <v>2368</v>
      </c>
      <c r="G107" s="277" t="s">
        <v>1875</v>
      </c>
      <c r="H107" s="284" t="s">
        <v>1875</v>
      </c>
      <c r="I107" s="279">
        <f>(104321)/1000*$I$5</f>
        <v>104.321</v>
      </c>
      <c r="J107" s="279">
        <f t="shared" si="3"/>
        <v>104.321</v>
      </c>
      <c r="K107" s="367" t="s">
        <v>2369</v>
      </c>
      <c r="L107" s="283"/>
    </row>
    <row r="108" spans="1:14" s="281" customFormat="1" ht="120" x14ac:dyDescent="0.2">
      <c r="A108" s="277"/>
      <c r="B108" s="277" t="s">
        <v>2586</v>
      </c>
      <c r="C108" s="297" t="s">
        <v>2373</v>
      </c>
      <c r="D108" s="367" t="s">
        <v>2374</v>
      </c>
      <c r="E108" s="278" t="s">
        <v>2375</v>
      </c>
      <c r="F108" s="367" t="s">
        <v>2372</v>
      </c>
      <c r="G108" s="277" t="s">
        <v>1575</v>
      </c>
      <c r="H108" s="284" t="s">
        <v>638</v>
      </c>
      <c r="I108" s="279">
        <f>(1186441)/1000*$I$5</f>
        <v>1186.441</v>
      </c>
      <c r="J108" s="279">
        <f t="shared" si="3"/>
        <v>1186.441</v>
      </c>
      <c r="K108" s="367" t="s">
        <v>2376</v>
      </c>
      <c r="L108" s="283"/>
    </row>
    <row r="109" spans="1:14" s="281" customFormat="1" ht="94.5" customHeight="1" x14ac:dyDescent="0.2">
      <c r="A109" s="302"/>
      <c r="B109" s="302" t="s">
        <v>2587</v>
      </c>
      <c r="C109" s="365" t="s">
        <v>2379</v>
      </c>
      <c r="D109" s="315" t="s">
        <v>2380</v>
      </c>
      <c r="E109" s="322" t="s">
        <v>2381</v>
      </c>
      <c r="F109" s="315" t="s">
        <v>2378</v>
      </c>
      <c r="G109" s="302" t="s">
        <v>1575</v>
      </c>
      <c r="H109" s="346" t="s">
        <v>638</v>
      </c>
      <c r="I109" s="279">
        <f>(215519)/1000*$I$5</f>
        <v>215.51900000000001</v>
      </c>
      <c r="J109" s="279">
        <f t="shared" si="3"/>
        <v>215.51900000000001</v>
      </c>
      <c r="K109" s="367" t="s">
        <v>2377</v>
      </c>
      <c r="L109" s="283"/>
    </row>
    <row r="110" spans="1:14" s="281" customFormat="1" ht="81.75" customHeight="1" x14ac:dyDescent="0.2">
      <c r="A110" s="391"/>
      <c r="B110" s="392" t="s">
        <v>308</v>
      </c>
      <c r="C110" s="382" t="s">
        <v>2523</v>
      </c>
      <c r="D110" s="367" t="s">
        <v>2526</v>
      </c>
      <c r="E110" s="322" t="s">
        <v>2527</v>
      </c>
      <c r="F110" s="315" t="s">
        <v>2524</v>
      </c>
      <c r="G110" s="302" t="s">
        <v>1636</v>
      </c>
      <c r="H110" s="346" t="s">
        <v>1643</v>
      </c>
      <c r="I110" s="301">
        <f>(2352941.18)/1000*$I$5</f>
        <v>2352.9411800000003</v>
      </c>
      <c r="J110" s="301">
        <f t="shared" si="3"/>
        <v>2352.9411800000003</v>
      </c>
      <c r="K110" s="367" t="s">
        <v>2525</v>
      </c>
      <c r="L110" s="283"/>
    </row>
    <row r="111" spans="1:14" ht="81.75" customHeight="1" x14ac:dyDescent="0.2">
      <c r="A111" s="237" t="s">
        <v>308</v>
      </c>
      <c r="B111" s="377" t="s">
        <v>2588</v>
      </c>
      <c r="C111" s="219" t="s">
        <v>338</v>
      </c>
      <c r="D111" s="230"/>
      <c r="E111" s="182"/>
      <c r="F111" s="350"/>
      <c r="G111" s="353"/>
      <c r="H111" s="353"/>
      <c r="I111" s="196">
        <f>(0)/1000*$I$5</f>
        <v>0</v>
      </c>
      <c r="J111" s="196">
        <f t="shared" si="3"/>
        <v>0</v>
      </c>
      <c r="K111" s="357"/>
      <c r="L111" s="231"/>
    </row>
    <row r="112" spans="1:14" ht="57" customHeight="1" x14ac:dyDescent="0.2">
      <c r="A112" s="56" t="s">
        <v>213</v>
      </c>
      <c r="B112" s="277" t="s">
        <v>323</v>
      </c>
      <c r="C112" s="356" t="s">
        <v>266</v>
      </c>
      <c r="D112" s="583" t="s">
        <v>1124</v>
      </c>
      <c r="E112" s="176" t="s">
        <v>1123</v>
      </c>
      <c r="F112" s="358" t="s">
        <v>1125</v>
      </c>
      <c r="G112" s="187" t="s">
        <v>174</v>
      </c>
      <c r="H112" s="187" t="s">
        <v>8</v>
      </c>
      <c r="I112" s="188">
        <f>(1935198.82/1.18)/1000*$I$5</f>
        <v>1639.9990000000003</v>
      </c>
      <c r="J112" s="188">
        <f t="shared" si="3"/>
        <v>1639.9990000000003</v>
      </c>
      <c r="K112" s="358" t="s">
        <v>128</v>
      </c>
      <c r="L112" s="59"/>
    </row>
    <row r="113" spans="1:12" ht="66" customHeight="1" x14ac:dyDescent="0.2">
      <c r="A113" s="56" t="s">
        <v>214</v>
      </c>
      <c r="B113" s="277" t="s">
        <v>324</v>
      </c>
      <c r="C113" s="356" t="s">
        <v>267</v>
      </c>
      <c r="D113" s="583"/>
      <c r="E113" s="176" t="s">
        <v>955</v>
      </c>
      <c r="F113" s="358" t="s">
        <v>1126</v>
      </c>
      <c r="G113" s="187" t="s">
        <v>46</v>
      </c>
      <c r="H113" s="187" t="s">
        <v>126</v>
      </c>
      <c r="I113" s="188">
        <f>(570000)/1000*$I$5</f>
        <v>570</v>
      </c>
      <c r="J113" s="188">
        <f t="shared" si="3"/>
        <v>570</v>
      </c>
      <c r="K113" s="358" t="s">
        <v>175</v>
      </c>
      <c r="L113" s="59"/>
    </row>
    <row r="114" spans="1:12" ht="60" x14ac:dyDescent="0.2">
      <c r="A114" s="56" t="s">
        <v>215</v>
      </c>
      <c r="B114" s="277" t="s">
        <v>325</v>
      </c>
      <c r="C114" s="356" t="s">
        <v>268</v>
      </c>
      <c r="D114" s="583" t="s">
        <v>1139</v>
      </c>
      <c r="E114" s="176" t="s">
        <v>956</v>
      </c>
      <c r="F114" s="358" t="s">
        <v>1127</v>
      </c>
      <c r="G114" s="187" t="s">
        <v>176</v>
      </c>
      <c r="H114" s="187" t="s">
        <v>176</v>
      </c>
      <c r="I114" s="188">
        <f>(259600/1.18)/1000*$I$5</f>
        <v>220</v>
      </c>
      <c r="J114" s="188">
        <f t="shared" si="3"/>
        <v>220</v>
      </c>
      <c r="K114" s="358" t="s">
        <v>128</v>
      </c>
      <c r="L114" s="59"/>
    </row>
    <row r="115" spans="1:12" ht="60" x14ac:dyDescent="0.2">
      <c r="A115" s="56" t="s">
        <v>216</v>
      </c>
      <c r="B115" s="277" t="s">
        <v>326</v>
      </c>
      <c r="C115" s="356" t="s">
        <v>269</v>
      </c>
      <c r="D115" s="583"/>
      <c r="E115" s="176" t="s">
        <v>957</v>
      </c>
      <c r="F115" s="358" t="s">
        <v>1128</v>
      </c>
      <c r="G115" s="187" t="s">
        <v>177</v>
      </c>
      <c r="H115" s="187" t="s">
        <v>177</v>
      </c>
      <c r="I115" s="188">
        <f>(218300/1.18)/1000*$I$5</f>
        <v>185</v>
      </c>
      <c r="J115" s="188">
        <f t="shared" si="3"/>
        <v>185</v>
      </c>
      <c r="K115" s="358" t="s">
        <v>128</v>
      </c>
      <c r="L115" s="59"/>
    </row>
    <row r="116" spans="1:12" ht="96" x14ac:dyDescent="0.2">
      <c r="A116" s="56" t="s">
        <v>217</v>
      </c>
      <c r="B116" s="277" t="s">
        <v>327</v>
      </c>
      <c r="C116" s="356" t="s">
        <v>270</v>
      </c>
      <c r="D116" s="232"/>
      <c r="E116" s="176" t="s">
        <v>958</v>
      </c>
      <c r="F116" s="358" t="s">
        <v>1129</v>
      </c>
      <c r="G116" s="187" t="s">
        <v>177</v>
      </c>
      <c r="H116" s="187" t="s">
        <v>54</v>
      </c>
      <c r="I116" s="188">
        <f>(390000)/1000*$I$5</f>
        <v>390</v>
      </c>
      <c r="J116" s="188">
        <f t="shared" si="3"/>
        <v>390</v>
      </c>
      <c r="K116" s="358" t="s">
        <v>175</v>
      </c>
      <c r="L116" s="59"/>
    </row>
    <row r="117" spans="1:12" ht="45" x14ac:dyDescent="0.2">
      <c r="A117" s="56" t="s">
        <v>309</v>
      </c>
      <c r="B117" s="277" t="s">
        <v>2589</v>
      </c>
      <c r="C117" s="356" t="s">
        <v>271</v>
      </c>
      <c r="D117" s="232"/>
      <c r="E117" s="176" t="s">
        <v>959</v>
      </c>
      <c r="F117" s="358" t="s">
        <v>1130</v>
      </c>
      <c r="G117" s="187" t="s">
        <v>12</v>
      </c>
      <c r="H117" s="187" t="s">
        <v>12</v>
      </c>
      <c r="I117" s="188">
        <f>(279660/1.18)/1000*$I$5</f>
        <v>237</v>
      </c>
      <c r="J117" s="188">
        <f t="shared" si="3"/>
        <v>237</v>
      </c>
      <c r="K117" s="358" t="s">
        <v>178</v>
      </c>
      <c r="L117" s="59"/>
    </row>
    <row r="118" spans="1:12" ht="45" x14ac:dyDescent="0.2">
      <c r="A118" s="56" t="s">
        <v>310</v>
      </c>
      <c r="B118" s="277" t="s">
        <v>2590</v>
      </c>
      <c r="C118" s="356" t="s">
        <v>272</v>
      </c>
      <c r="D118" s="232"/>
      <c r="E118" s="176" t="s">
        <v>960</v>
      </c>
      <c r="F118" s="358" t="s">
        <v>1131</v>
      </c>
      <c r="G118" s="187" t="s">
        <v>179</v>
      </c>
      <c r="H118" s="187" t="s">
        <v>52</v>
      </c>
      <c r="I118" s="188">
        <f>(731598.82/1.18)/1000*$I$5</f>
        <v>619.99900000000002</v>
      </c>
      <c r="J118" s="188">
        <f t="shared" si="3"/>
        <v>619.99900000000002</v>
      </c>
      <c r="K118" s="358" t="s">
        <v>178</v>
      </c>
      <c r="L118" s="59"/>
    </row>
    <row r="119" spans="1:12" ht="45" x14ac:dyDescent="0.2">
      <c r="A119" s="56" t="s">
        <v>311</v>
      </c>
      <c r="B119" s="277" t="s">
        <v>2591</v>
      </c>
      <c r="C119" s="356" t="s">
        <v>273</v>
      </c>
      <c r="D119" s="232"/>
      <c r="E119" s="176" t="s">
        <v>961</v>
      </c>
      <c r="F119" s="358" t="s">
        <v>1132</v>
      </c>
      <c r="G119" s="187" t="s">
        <v>181</v>
      </c>
      <c r="H119" s="187" t="s">
        <v>51</v>
      </c>
      <c r="I119" s="188">
        <f>(70800/1.18)/1000*$I$5</f>
        <v>60</v>
      </c>
      <c r="J119" s="188">
        <f t="shared" si="3"/>
        <v>60</v>
      </c>
      <c r="K119" s="358" t="s">
        <v>180</v>
      </c>
      <c r="L119" s="59"/>
    </row>
    <row r="120" spans="1:12" ht="72" x14ac:dyDescent="0.2">
      <c r="A120" s="56" t="s">
        <v>312</v>
      </c>
      <c r="B120" s="277" t="s">
        <v>2592</v>
      </c>
      <c r="C120" s="356" t="s">
        <v>1133</v>
      </c>
      <c r="D120" s="583" t="s">
        <v>1140</v>
      </c>
      <c r="E120" s="176" t="s">
        <v>962</v>
      </c>
      <c r="F120" s="358" t="s">
        <v>1134</v>
      </c>
      <c r="G120" s="187" t="s">
        <v>56</v>
      </c>
      <c r="H120" s="187" t="s">
        <v>129</v>
      </c>
      <c r="I120" s="188">
        <f>(300000)/1000*$I$5</f>
        <v>300</v>
      </c>
      <c r="J120" s="188">
        <f t="shared" si="3"/>
        <v>300</v>
      </c>
      <c r="K120" s="358" t="s">
        <v>178</v>
      </c>
      <c r="L120" s="59"/>
    </row>
    <row r="121" spans="1:12" ht="84" x14ac:dyDescent="0.2">
      <c r="A121" s="56" t="s">
        <v>313</v>
      </c>
      <c r="B121" s="277" t="s">
        <v>2593</v>
      </c>
      <c r="C121" s="356" t="s">
        <v>275</v>
      </c>
      <c r="D121" s="583"/>
      <c r="E121" s="176" t="s">
        <v>963</v>
      </c>
      <c r="F121" s="358" t="s">
        <v>1135</v>
      </c>
      <c r="G121" s="187" t="s">
        <v>56</v>
      </c>
      <c r="H121" s="187" t="s">
        <v>52</v>
      </c>
      <c r="I121" s="188">
        <f>(780000)/1000*$I$5</f>
        <v>780</v>
      </c>
      <c r="J121" s="188">
        <f t="shared" si="3"/>
        <v>780</v>
      </c>
      <c r="K121" s="358" t="s">
        <v>175</v>
      </c>
      <c r="L121" s="59"/>
    </row>
    <row r="122" spans="1:12" ht="33.75" x14ac:dyDescent="0.2">
      <c r="A122" s="56" t="s">
        <v>314</v>
      </c>
      <c r="B122" s="277" t="s">
        <v>2594</v>
      </c>
      <c r="C122" s="356" t="s">
        <v>276</v>
      </c>
      <c r="D122" s="191"/>
      <c r="E122" s="176" t="s">
        <v>964</v>
      </c>
      <c r="F122" s="358" t="s">
        <v>276</v>
      </c>
      <c r="G122" s="187" t="s">
        <v>132</v>
      </c>
      <c r="H122" s="187" t="s">
        <v>7</v>
      </c>
      <c r="I122" s="188">
        <f>(2285000)/1000*$I$5</f>
        <v>2285</v>
      </c>
      <c r="J122" s="188">
        <f t="shared" si="3"/>
        <v>2285</v>
      </c>
      <c r="K122" s="358" t="s">
        <v>182</v>
      </c>
      <c r="L122" s="59"/>
    </row>
    <row r="123" spans="1:12" ht="52.5" customHeight="1" x14ac:dyDescent="0.2">
      <c r="A123" s="56" t="s">
        <v>315</v>
      </c>
      <c r="B123" s="277" t="s">
        <v>2595</v>
      </c>
      <c r="C123" s="356" t="s">
        <v>277</v>
      </c>
      <c r="D123" s="583" t="s">
        <v>1141</v>
      </c>
      <c r="E123" s="176" t="s">
        <v>965</v>
      </c>
      <c r="F123" s="358" t="s">
        <v>1142</v>
      </c>
      <c r="G123" s="187" t="s">
        <v>4</v>
      </c>
      <c r="H123" s="187" t="s">
        <v>14</v>
      </c>
      <c r="I123" s="188">
        <f>(7400000)/1000*$I$5</f>
        <v>7400</v>
      </c>
      <c r="J123" s="188">
        <f>I123-(3960545+263553)/1000*$I$5</f>
        <v>3175.902</v>
      </c>
      <c r="K123" s="358" t="s">
        <v>136</v>
      </c>
      <c r="L123" s="59"/>
    </row>
    <row r="124" spans="1:12" ht="33.75" x14ac:dyDescent="0.2">
      <c r="A124" s="56" t="s">
        <v>316</v>
      </c>
      <c r="B124" s="277" t="s">
        <v>2596</v>
      </c>
      <c r="C124" s="356" t="s">
        <v>278</v>
      </c>
      <c r="D124" s="583"/>
      <c r="E124" s="176" t="s">
        <v>966</v>
      </c>
      <c r="F124" s="356" t="s">
        <v>278</v>
      </c>
      <c r="G124" s="187" t="s">
        <v>24</v>
      </c>
      <c r="H124" s="187" t="s">
        <v>95</v>
      </c>
      <c r="I124" s="188">
        <f>(1949000)/1000*$I$5</f>
        <v>1949</v>
      </c>
      <c r="J124" s="188">
        <f>I124-(0)/1000*$I$5</f>
        <v>1949</v>
      </c>
      <c r="K124" s="358" t="s">
        <v>182</v>
      </c>
      <c r="L124" s="59"/>
    </row>
    <row r="125" spans="1:12" ht="36" x14ac:dyDescent="0.2">
      <c r="A125" s="56" t="s">
        <v>317</v>
      </c>
      <c r="B125" s="277" t="s">
        <v>2597</v>
      </c>
      <c r="C125" s="356" t="s">
        <v>279</v>
      </c>
      <c r="D125" s="583"/>
      <c r="E125" s="176" t="s">
        <v>967</v>
      </c>
      <c r="F125" s="358" t="s">
        <v>1143</v>
      </c>
      <c r="G125" s="187" t="s">
        <v>91</v>
      </c>
      <c r="H125" s="187" t="s">
        <v>93</v>
      </c>
      <c r="I125" s="188">
        <f>(460000)/1000*$I$5</f>
        <v>460</v>
      </c>
      <c r="J125" s="188">
        <f>I125-(0)/1000*$I$5</f>
        <v>460</v>
      </c>
      <c r="K125" s="358" t="s">
        <v>182</v>
      </c>
      <c r="L125" s="59"/>
    </row>
    <row r="126" spans="1:12" ht="66" customHeight="1" x14ac:dyDescent="0.2">
      <c r="A126" s="56" t="s">
        <v>318</v>
      </c>
      <c r="B126" s="277" t="s">
        <v>2598</v>
      </c>
      <c r="C126" s="356" t="s">
        <v>280</v>
      </c>
      <c r="D126" s="191"/>
      <c r="E126" s="176" t="s">
        <v>968</v>
      </c>
      <c r="F126" s="358" t="s">
        <v>1144</v>
      </c>
      <c r="G126" s="187" t="s">
        <v>137</v>
      </c>
      <c r="H126" s="187" t="s">
        <v>139</v>
      </c>
      <c r="I126" s="188">
        <f>(777278)/1000*$I$5</f>
        <v>777.27800000000002</v>
      </c>
      <c r="J126" s="188">
        <f>I126-(98229)/1000*$I$5</f>
        <v>679.04899999999998</v>
      </c>
      <c r="K126" s="358" t="s">
        <v>183</v>
      </c>
      <c r="L126" s="59"/>
    </row>
    <row r="127" spans="1:12" ht="72" x14ac:dyDescent="0.2">
      <c r="A127" s="56" t="s">
        <v>319</v>
      </c>
      <c r="B127" s="277" t="s">
        <v>2599</v>
      </c>
      <c r="C127" s="356" t="s">
        <v>1147</v>
      </c>
      <c r="D127" s="191"/>
      <c r="E127" s="176" t="s">
        <v>969</v>
      </c>
      <c r="F127" s="358" t="s">
        <v>1145</v>
      </c>
      <c r="G127" s="187" t="s">
        <v>137</v>
      </c>
      <c r="H127" s="187" t="s">
        <v>139</v>
      </c>
      <c r="I127" s="188">
        <f>(956000)/1000*$I$5</f>
        <v>956</v>
      </c>
      <c r="J127" s="188">
        <f>I127-(341273)/1000*$I$5</f>
        <v>614.72699999999998</v>
      </c>
      <c r="K127" s="358" t="s">
        <v>183</v>
      </c>
      <c r="L127" s="59"/>
    </row>
    <row r="128" spans="1:12" ht="72" x14ac:dyDescent="0.2">
      <c r="A128" s="56" t="s">
        <v>320</v>
      </c>
      <c r="B128" s="277" t="s">
        <v>2600</v>
      </c>
      <c r="C128" s="356" t="s">
        <v>1148</v>
      </c>
      <c r="D128" s="191"/>
      <c r="E128" s="176" t="s">
        <v>970</v>
      </c>
      <c r="F128" s="358" t="s">
        <v>1146</v>
      </c>
      <c r="G128" s="187" t="s">
        <v>137</v>
      </c>
      <c r="H128" s="187" t="s">
        <v>139</v>
      </c>
      <c r="I128" s="188">
        <f>(790000)/1000*$I$5</f>
        <v>790</v>
      </c>
      <c r="J128" s="188">
        <f>I128-(222000)/1000*$I$5</f>
        <v>568</v>
      </c>
      <c r="K128" s="358" t="s">
        <v>183</v>
      </c>
      <c r="L128" s="59"/>
    </row>
    <row r="129" spans="1:12" ht="48.75" customHeight="1" x14ac:dyDescent="0.2">
      <c r="A129" s="56" t="s">
        <v>321</v>
      </c>
      <c r="B129" s="277" t="s">
        <v>2601</v>
      </c>
      <c r="C129" s="356" t="s">
        <v>1149</v>
      </c>
      <c r="D129" s="583" t="s">
        <v>1541</v>
      </c>
      <c r="E129" s="176" t="s">
        <v>971</v>
      </c>
      <c r="F129" s="356" t="s">
        <v>1149</v>
      </c>
      <c r="G129" s="187" t="s">
        <v>16</v>
      </c>
      <c r="H129" s="187" t="s">
        <v>11</v>
      </c>
      <c r="I129" s="188">
        <f>(333000)/1000*$I$5</f>
        <v>333</v>
      </c>
      <c r="J129" s="188">
        <f t="shared" ref="J129:J148" si="4">I129-(0)/1000*$I$5</f>
        <v>333</v>
      </c>
      <c r="K129" s="358" t="s">
        <v>182</v>
      </c>
      <c r="L129" s="59"/>
    </row>
    <row r="130" spans="1:12" ht="52.5" customHeight="1" x14ac:dyDescent="0.2">
      <c r="A130" s="56" t="s">
        <v>322</v>
      </c>
      <c r="B130" s="277" t="s">
        <v>2602</v>
      </c>
      <c r="C130" s="356" t="s">
        <v>284</v>
      </c>
      <c r="D130" s="583"/>
      <c r="E130" s="176" t="s">
        <v>1153</v>
      </c>
      <c r="F130" s="358" t="s">
        <v>284</v>
      </c>
      <c r="G130" s="187" t="s">
        <v>107</v>
      </c>
      <c r="H130" s="187" t="s">
        <v>11</v>
      </c>
      <c r="I130" s="188">
        <f>(1356000)/1000*$I$5</f>
        <v>1356</v>
      </c>
      <c r="J130" s="188">
        <f t="shared" si="4"/>
        <v>1356</v>
      </c>
      <c r="K130" s="359" t="s">
        <v>182</v>
      </c>
      <c r="L130" s="228"/>
    </row>
    <row r="131" spans="1:12" s="281" customFormat="1" ht="52.5" customHeight="1" x14ac:dyDescent="0.2">
      <c r="A131" s="277"/>
      <c r="B131" s="277" t="s">
        <v>2603</v>
      </c>
      <c r="C131" s="297" t="s">
        <v>1543</v>
      </c>
      <c r="D131" s="367"/>
      <c r="E131" s="278" t="s">
        <v>1544</v>
      </c>
      <c r="F131" s="297" t="s">
        <v>1542</v>
      </c>
      <c r="G131" s="277" t="s">
        <v>21</v>
      </c>
      <c r="H131" s="277" t="s">
        <v>63</v>
      </c>
      <c r="I131" s="279">
        <f>(1300000)/1000*$I$5</f>
        <v>1300</v>
      </c>
      <c r="J131" s="279">
        <f t="shared" si="4"/>
        <v>1300</v>
      </c>
      <c r="K131" s="367"/>
      <c r="L131" s="283"/>
    </row>
    <row r="132" spans="1:12" s="281" customFormat="1" ht="52.5" customHeight="1" x14ac:dyDescent="0.2">
      <c r="A132" s="277"/>
      <c r="B132" s="277" t="s">
        <v>2604</v>
      </c>
      <c r="C132" s="297" t="s">
        <v>1546</v>
      </c>
      <c r="D132" s="367"/>
      <c r="E132" s="278" t="s">
        <v>1547</v>
      </c>
      <c r="F132" s="297" t="s">
        <v>1545</v>
      </c>
      <c r="G132" s="277" t="s">
        <v>21</v>
      </c>
      <c r="H132" s="277" t="s">
        <v>598</v>
      </c>
      <c r="I132" s="279">
        <f>(1708991)/1000*$I$5</f>
        <v>1708.991</v>
      </c>
      <c r="J132" s="279">
        <f t="shared" si="4"/>
        <v>1708.991</v>
      </c>
      <c r="K132" s="367"/>
      <c r="L132" s="283"/>
    </row>
    <row r="133" spans="1:12" s="281" customFormat="1" ht="73.5" customHeight="1" x14ac:dyDescent="0.2">
      <c r="A133" s="277"/>
      <c r="B133" s="277" t="s">
        <v>2605</v>
      </c>
      <c r="C133" s="297" t="s">
        <v>1548</v>
      </c>
      <c r="D133" s="367"/>
      <c r="E133" s="278" t="s">
        <v>1550</v>
      </c>
      <c r="F133" s="297" t="s">
        <v>1549</v>
      </c>
      <c r="G133" s="277" t="s">
        <v>18</v>
      </c>
      <c r="H133" s="277" t="s">
        <v>19</v>
      </c>
      <c r="I133" s="279">
        <f>(107700)/1000*$I$5</f>
        <v>107.7</v>
      </c>
      <c r="J133" s="279">
        <f t="shared" si="4"/>
        <v>107.7</v>
      </c>
      <c r="K133" s="367"/>
      <c r="L133" s="283"/>
    </row>
    <row r="134" spans="1:12" s="281" customFormat="1" ht="73.5" customHeight="1" x14ac:dyDescent="0.2">
      <c r="A134" s="277"/>
      <c r="B134" s="277" t="s">
        <v>2606</v>
      </c>
      <c r="C134" s="297" t="s">
        <v>1552</v>
      </c>
      <c r="D134" s="367"/>
      <c r="E134" s="278" t="s">
        <v>1551</v>
      </c>
      <c r="F134" s="297" t="s">
        <v>1703</v>
      </c>
      <c r="G134" s="277" t="s">
        <v>63</v>
      </c>
      <c r="H134" s="277" t="s">
        <v>15</v>
      </c>
      <c r="I134" s="279">
        <f>(782051)/1000*$I$5</f>
        <v>782.05100000000004</v>
      </c>
      <c r="J134" s="279">
        <f t="shared" si="4"/>
        <v>782.05100000000004</v>
      </c>
      <c r="K134" s="367"/>
      <c r="L134" s="283"/>
    </row>
    <row r="135" spans="1:12" s="281" customFormat="1" ht="75.75" customHeight="1" x14ac:dyDescent="0.2">
      <c r="A135" s="277"/>
      <c r="B135" s="277" t="s">
        <v>2607</v>
      </c>
      <c r="C135" s="297" t="s">
        <v>1555</v>
      </c>
      <c r="D135" s="367"/>
      <c r="E135" s="278" t="s">
        <v>1553</v>
      </c>
      <c r="F135" s="297" t="s">
        <v>1556</v>
      </c>
      <c r="G135" s="277" t="s">
        <v>1554</v>
      </c>
      <c r="H135" s="277" t="s">
        <v>15</v>
      </c>
      <c r="I135" s="279">
        <f>(3081392)/1000*$I$5</f>
        <v>3081.3919999999998</v>
      </c>
      <c r="J135" s="279">
        <f t="shared" si="4"/>
        <v>3081.3919999999998</v>
      </c>
      <c r="K135" s="367"/>
      <c r="L135" s="283"/>
    </row>
    <row r="136" spans="1:12" s="281" customFormat="1" ht="40.5" customHeight="1" x14ac:dyDescent="0.2">
      <c r="A136" s="277"/>
      <c r="B136" s="277" t="s">
        <v>2608</v>
      </c>
      <c r="C136" s="297" t="s">
        <v>1557</v>
      </c>
      <c r="D136" s="367"/>
      <c r="E136" s="278" t="s">
        <v>1558</v>
      </c>
      <c r="F136" s="297" t="s">
        <v>1557</v>
      </c>
      <c r="G136" s="277" t="s">
        <v>598</v>
      </c>
      <c r="H136" s="277" t="s">
        <v>1559</v>
      </c>
      <c r="I136" s="279">
        <f>(133000)/1000*$I$5</f>
        <v>133</v>
      </c>
      <c r="J136" s="279">
        <f t="shared" si="4"/>
        <v>133</v>
      </c>
      <c r="K136" s="367"/>
      <c r="L136" s="283"/>
    </row>
    <row r="137" spans="1:12" s="281" customFormat="1" ht="36" x14ac:dyDescent="0.2">
      <c r="A137" s="277"/>
      <c r="B137" s="277" t="s">
        <v>2609</v>
      </c>
      <c r="C137" s="297" t="s">
        <v>1560</v>
      </c>
      <c r="D137" s="367"/>
      <c r="E137" s="278" t="s">
        <v>1562</v>
      </c>
      <c r="F137" s="297" t="s">
        <v>1561</v>
      </c>
      <c r="G137" s="277" t="s">
        <v>1559</v>
      </c>
      <c r="H137" s="277" t="s">
        <v>1559</v>
      </c>
      <c r="I137" s="279">
        <f>(418891)/1000*$I$5</f>
        <v>418.89100000000002</v>
      </c>
      <c r="J137" s="279">
        <f t="shared" si="4"/>
        <v>418.89100000000002</v>
      </c>
      <c r="K137" s="367"/>
      <c r="L137" s="283"/>
    </row>
    <row r="138" spans="1:12" s="281" customFormat="1" ht="45.75" customHeight="1" x14ac:dyDescent="0.2">
      <c r="A138" s="277"/>
      <c r="B138" s="277" t="s">
        <v>2610</v>
      </c>
      <c r="C138" s="297" t="s">
        <v>1689</v>
      </c>
      <c r="D138" s="367"/>
      <c r="E138" s="278" t="s">
        <v>1690</v>
      </c>
      <c r="F138" s="297" t="s">
        <v>1691</v>
      </c>
      <c r="G138" s="277" t="s">
        <v>1559</v>
      </c>
      <c r="H138" s="277" t="s">
        <v>1559</v>
      </c>
      <c r="I138" s="279">
        <f>(396260)/1000*$I$5</f>
        <v>396.26</v>
      </c>
      <c r="J138" s="279">
        <f t="shared" si="4"/>
        <v>396.26</v>
      </c>
      <c r="K138" s="367"/>
      <c r="L138" s="283"/>
    </row>
    <row r="139" spans="1:12" s="281" customFormat="1" ht="48" x14ac:dyDescent="0.2">
      <c r="A139" s="277"/>
      <c r="B139" s="277" t="s">
        <v>2611</v>
      </c>
      <c r="C139" s="297" t="s">
        <v>1564</v>
      </c>
      <c r="D139" s="367"/>
      <c r="E139" s="278" t="s">
        <v>1565</v>
      </c>
      <c r="F139" s="297" t="s">
        <v>1563</v>
      </c>
      <c r="G139" s="277" t="s">
        <v>1559</v>
      </c>
      <c r="H139" s="277" t="s">
        <v>638</v>
      </c>
      <c r="I139" s="279">
        <f>(576911)/1000*$I$5</f>
        <v>576.91099999999994</v>
      </c>
      <c r="J139" s="279">
        <f t="shared" si="4"/>
        <v>576.91099999999994</v>
      </c>
      <c r="K139" s="367"/>
      <c r="L139" s="283"/>
    </row>
    <row r="140" spans="1:12" s="281" customFormat="1" ht="36" x14ac:dyDescent="0.2">
      <c r="A140" s="277"/>
      <c r="B140" s="277" t="s">
        <v>2612</v>
      </c>
      <c r="C140" s="297" t="s">
        <v>1568</v>
      </c>
      <c r="D140" s="367"/>
      <c r="E140" s="278" t="s">
        <v>1567</v>
      </c>
      <c r="F140" s="297" t="s">
        <v>1566</v>
      </c>
      <c r="G140" s="277" t="s">
        <v>613</v>
      </c>
      <c r="H140" s="277" t="s">
        <v>1520</v>
      </c>
      <c r="I140" s="279">
        <f>(2200000)/1000*$I$5</f>
        <v>2200</v>
      </c>
      <c r="J140" s="279">
        <f t="shared" si="4"/>
        <v>2200</v>
      </c>
      <c r="K140" s="367"/>
      <c r="L140" s="283"/>
    </row>
    <row r="141" spans="1:12" s="281" customFormat="1" ht="36" x14ac:dyDescent="0.2">
      <c r="A141" s="277"/>
      <c r="B141" s="277" t="s">
        <v>2613</v>
      </c>
      <c r="C141" s="297" t="s">
        <v>1570</v>
      </c>
      <c r="D141" s="367"/>
      <c r="E141" s="278" t="s">
        <v>1569</v>
      </c>
      <c r="F141" s="297" t="s">
        <v>1571</v>
      </c>
      <c r="G141" s="277" t="s">
        <v>20</v>
      </c>
      <c r="H141" s="277" t="s">
        <v>63</v>
      </c>
      <c r="I141" s="279">
        <f>(255000)/1000*$I$5</f>
        <v>255</v>
      </c>
      <c r="J141" s="279">
        <f t="shared" si="4"/>
        <v>255</v>
      </c>
      <c r="K141" s="367"/>
      <c r="L141" s="283"/>
    </row>
    <row r="142" spans="1:12" s="281" customFormat="1" ht="48" x14ac:dyDescent="0.2">
      <c r="A142" s="277"/>
      <c r="B142" s="277" t="s">
        <v>2614</v>
      </c>
      <c r="C142" s="297" t="s">
        <v>1573</v>
      </c>
      <c r="D142" s="367"/>
      <c r="E142" s="278" t="s">
        <v>1572</v>
      </c>
      <c r="F142" s="297" t="s">
        <v>1574</v>
      </c>
      <c r="G142" s="277" t="s">
        <v>872</v>
      </c>
      <c r="H142" s="277" t="s">
        <v>1575</v>
      </c>
      <c r="I142" s="279">
        <f>(744462)/1000*$I$5</f>
        <v>744.46199999999999</v>
      </c>
      <c r="J142" s="279">
        <f t="shared" si="4"/>
        <v>744.46199999999999</v>
      </c>
      <c r="K142" s="367"/>
      <c r="L142" s="283"/>
    </row>
    <row r="143" spans="1:12" s="281" customFormat="1" ht="33.75" x14ac:dyDescent="0.2">
      <c r="A143" s="277"/>
      <c r="B143" s="277" t="s">
        <v>2615</v>
      </c>
      <c r="C143" s="297" t="s">
        <v>1578</v>
      </c>
      <c r="D143" s="367"/>
      <c r="E143" s="278" t="s">
        <v>1576</v>
      </c>
      <c r="F143" s="297" t="s">
        <v>1577</v>
      </c>
      <c r="G143" s="277" t="s">
        <v>872</v>
      </c>
      <c r="H143" s="277" t="s">
        <v>1579</v>
      </c>
      <c r="I143" s="279">
        <f>(125860)/1000*$I$5</f>
        <v>125.86</v>
      </c>
      <c r="J143" s="279">
        <f t="shared" si="4"/>
        <v>125.86</v>
      </c>
      <c r="K143" s="367"/>
      <c r="L143" s="283"/>
    </row>
    <row r="144" spans="1:12" ht="30.75" customHeight="1" x14ac:dyDescent="0.2">
      <c r="A144" s="233" t="s">
        <v>212</v>
      </c>
      <c r="B144" s="376" t="s">
        <v>328</v>
      </c>
      <c r="C144" s="239" t="s">
        <v>285</v>
      </c>
      <c r="D144" s="582" t="s">
        <v>1150</v>
      </c>
      <c r="E144" s="182"/>
      <c r="F144" s="350"/>
      <c r="G144" s="353"/>
      <c r="H144" s="353"/>
      <c r="I144" s="196">
        <f>(0)/1000*$I$5</f>
        <v>0</v>
      </c>
      <c r="J144" s="196">
        <f t="shared" si="4"/>
        <v>0</v>
      </c>
      <c r="K144" s="357"/>
      <c r="L144" s="231"/>
    </row>
    <row r="145" spans="1:12" ht="60" x14ac:dyDescent="0.2">
      <c r="A145" s="56" t="s">
        <v>323</v>
      </c>
      <c r="B145" s="277" t="s">
        <v>329</v>
      </c>
      <c r="C145" s="356" t="s">
        <v>1151</v>
      </c>
      <c r="D145" s="583"/>
      <c r="E145" s="176" t="s">
        <v>973</v>
      </c>
      <c r="F145" s="358" t="s">
        <v>1152</v>
      </c>
      <c r="G145" s="187" t="s">
        <v>60</v>
      </c>
      <c r="H145" s="187" t="s">
        <v>9</v>
      </c>
      <c r="I145" s="188">
        <f>(2597207)/1000*$I$5</f>
        <v>2597.2069999999999</v>
      </c>
      <c r="J145" s="188">
        <f t="shared" si="4"/>
        <v>2597.2069999999999</v>
      </c>
      <c r="K145" s="358" t="s">
        <v>210</v>
      </c>
      <c r="L145" s="59"/>
    </row>
    <row r="146" spans="1:12" ht="36" x14ac:dyDescent="0.2">
      <c r="A146" s="56" t="s">
        <v>324</v>
      </c>
      <c r="B146" s="277" t="s">
        <v>2616</v>
      </c>
      <c r="C146" s="356" t="s">
        <v>287</v>
      </c>
      <c r="D146" s="583"/>
      <c r="E146" s="176" t="s">
        <v>974</v>
      </c>
      <c r="F146" s="356" t="s">
        <v>287</v>
      </c>
      <c r="G146" s="187" t="s">
        <v>211</v>
      </c>
      <c r="H146" s="187" t="s">
        <v>11</v>
      </c>
      <c r="I146" s="188">
        <f>(4745324)/1000*$I$5</f>
        <v>4745.3239999999996</v>
      </c>
      <c r="J146" s="188">
        <f t="shared" si="4"/>
        <v>4745.3239999999996</v>
      </c>
      <c r="K146" s="358" t="s">
        <v>182</v>
      </c>
      <c r="L146" s="59"/>
    </row>
    <row r="147" spans="1:12" ht="33.75" x14ac:dyDescent="0.2">
      <c r="A147" s="56" t="s">
        <v>325</v>
      </c>
      <c r="B147" s="277" t="s">
        <v>2617</v>
      </c>
      <c r="C147" s="356" t="s">
        <v>288</v>
      </c>
      <c r="D147" s="583"/>
      <c r="E147" s="176" t="s">
        <v>975</v>
      </c>
      <c r="F147" s="356" t="s">
        <v>288</v>
      </c>
      <c r="G147" s="187" t="s">
        <v>211</v>
      </c>
      <c r="H147" s="187" t="s">
        <v>11</v>
      </c>
      <c r="I147" s="188">
        <f>(2553018)/1000*$I$5</f>
        <v>2553.018</v>
      </c>
      <c r="J147" s="188">
        <f t="shared" si="4"/>
        <v>2553.018</v>
      </c>
      <c r="K147" s="358" t="s">
        <v>182</v>
      </c>
      <c r="L147" s="59"/>
    </row>
    <row r="148" spans="1:12" ht="48" x14ac:dyDescent="0.2">
      <c r="A148" s="56" t="s">
        <v>326</v>
      </c>
      <c r="B148" s="277" t="s">
        <v>2618</v>
      </c>
      <c r="C148" s="356" t="s">
        <v>339</v>
      </c>
      <c r="D148" s="583"/>
      <c r="E148" s="176" t="s">
        <v>976</v>
      </c>
      <c r="F148" s="356" t="s">
        <v>339</v>
      </c>
      <c r="G148" s="187" t="s">
        <v>211</v>
      </c>
      <c r="H148" s="187" t="s">
        <v>11</v>
      </c>
      <c r="I148" s="188">
        <f>(500000)/1000*$I$5</f>
        <v>500</v>
      </c>
      <c r="J148" s="188">
        <f t="shared" si="4"/>
        <v>500</v>
      </c>
      <c r="K148" s="358" t="s">
        <v>182</v>
      </c>
      <c r="L148" s="59"/>
    </row>
    <row r="149" spans="1:12" ht="46.5" customHeight="1" x14ac:dyDescent="0.2">
      <c r="A149" s="56" t="s">
        <v>327</v>
      </c>
      <c r="B149" s="277" t="s">
        <v>2619</v>
      </c>
      <c r="C149" s="356" t="s">
        <v>289</v>
      </c>
      <c r="D149" s="191"/>
      <c r="E149" s="176" t="s">
        <v>977</v>
      </c>
      <c r="F149" s="356" t="s">
        <v>289</v>
      </c>
      <c r="G149" s="187" t="s">
        <v>16</v>
      </c>
      <c r="H149" s="187" t="s">
        <v>107</v>
      </c>
      <c r="I149" s="188">
        <f>(299973)/1000*$I$5</f>
        <v>299.97300000000001</v>
      </c>
      <c r="J149" s="188">
        <f t="shared" ref="J149:J154" si="5">I149-(0)/1000*$I$5</f>
        <v>299.97300000000001</v>
      </c>
      <c r="K149" s="358" t="s">
        <v>182</v>
      </c>
      <c r="L149" s="59"/>
    </row>
    <row r="150" spans="1:12" ht="39.75" customHeight="1" x14ac:dyDescent="0.2">
      <c r="A150" s="233" t="s">
        <v>328</v>
      </c>
      <c r="B150" s="376" t="s">
        <v>330</v>
      </c>
      <c r="C150" s="239" t="s">
        <v>291</v>
      </c>
      <c r="D150" s="582" t="s">
        <v>1158</v>
      </c>
      <c r="E150" s="182"/>
      <c r="F150" s="350"/>
      <c r="G150" s="353"/>
      <c r="H150" s="353"/>
      <c r="I150" s="196">
        <f>(0)/1000*$I$5</f>
        <v>0</v>
      </c>
      <c r="J150" s="196">
        <f t="shared" si="5"/>
        <v>0</v>
      </c>
      <c r="K150" s="357"/>
      <c r="L150" s="231"/>
    </row>
    <row r="151" spans="1:12" ht="78" customHeight="1" x14ac:dyDescent="0.2">
      <c r="A151" s="56" t="s">
        <v>329</v>
      </c>
      <c r="B151" s="277"/>
      <c r="C151" s="356" t="s">
        <v>1154</v>
      </c>
      <c r="D151" s="584"/>
      <c r="E151" s="181" t="s">
        <v>978</v>
      </c>
      <c r="F151" s="359" t="s">
        <v>1155</v>
      </c>
      <c r="G151" s="354" t="s">
        <v>104</v>
      </c>
      <c r="H151" s="240" t="s">
        <v>62</v>
      </c>
      <c r="I151" s="193">
        <f>(485000)/1000*$I$5</f>
        <v>485</v>
      </c>
      <c r="J151" s="193">
        <f t="shared" si="5"/>
        <v>485</v>
      </c>
      <c r="K151" s="358" t="s">
        <v>669</v>
      </c>
      <c r="L151" s="59"/>
    </row>
    <row r="152" spans="1:12" ht="48" customHeight="1" x14ac:dyDescent="0.2">
      <c r="A152" s="241" t="s">
        <v>330</v>
      </c>
      <c r="B152" s="378" t="s">
        <v>356</v>
      </c>
      <c r="C152" s="239" t="s">
        <v>342</v>
      </c>
      <c r="D152" s="582" t="s">
        <v>1157</v>
      </c>
      <c r="E152" s="176"/>
      <c r="F152" s="351"/>
      <c r="G152" s="187"/>
      <c r="H152" s="187"/>
      <c r="I152" s="188">
        <f>(0)/1000*$I$5</f>
        <v>0</v>
      </c>
      <c r="J152" s="188">
        <f t="shared" si="5"/>
        <v>0</v>
      </c>
      <c r="K152" s="357"/>
      <c r="L152" s="231"/>
    </row>
    <row r="153" spans="1:12" ht="80.25" customHeight="1" x14ac:dyDescent="0.2">
      <c r="A153" s="56" t="s">
        <v>331</v>
      </c>
      <c r="B153" s="277" t="s">
        <v>357</v>
      </c>
      <c r="C153" s="356" t="s">
        <v>292</v>
      </c>
      <c r="D153" s="583"/>
      <c r="E153" s="176" t="s">
        <v>979</v>
      </c>
      <c r="F153" s="356" t="s">
        <v>1704</v>
      </c>
      <c r="G153" s="187" t="s">
        <v>181</v>
      </c>
      <c r="H153" s="187" t="s">
        <v>54</v>
      </c>
      <c r="I153" s="188">
        <f>(689928.84)/1000*$I$5</f>
        <v>689.92883999999992</v>
      </c>
      <c r="J153" s="188">
        <f t="shared" si="5"/>
        <v>689.92883999999992</v>
      </c>
      <c r="K153" s="358" t="s">
        <v>219</v>
      </c>
      <c r="L153" s="59"/>
    </row>
    <row r="154" spans="1:12" ht="67.5" customHeight="1" x14ac:dyDescent="0.2">
      <c r="A154" s="56" t="s">
        <v>332</v>
      </c>
      <c r="B154" s="277" t="s">
        <v>360</v>
      </c>
      <c r="C154" s="356" t="s">
        <v>293</v>
      </c>
      <c r="D154" s="583"/>
      <c r="E154" s="176" t="s">
        <v>980</v>
      </c>
      <c r="F154" s="356" t="s">
        <v>1589</v>
      </c>
      <c r="G154" s="187" t="s">
        <v>181</v>
      </c>
      <c r="H154" s="187" t="s">
        <v>54</v>
      </c>
      <c r="I154" s="188">
        <f>(669986.7)/1000*$I$5</f>
        <v>669.98669999999993</v>
      </c>
      <c r="J154" s="188">
        <f t="shared" si="5"/>
        <v>669.98669999999993</v>
      </c>
      <c r="K154" s="359" t="s">
        <v>670</v>
      </c>
      <c r="L154" s="228"/>
    </row>
    <row r="155" spans="1:12" s="281" customFormat="1" ht="67.5" customHeight="1" x14ac:dyDescent="0.2">
      <c r="A155" s="277"/>
      <c r="B155" s="277" t="s">
        <v>366</v>
      </c>
      <c r="C155" s="287" t="s">
        <v>1582</v>
      </c>
      <c r="D155" s="630" t="s">
        <v>1581</v>
      </c>
      <c r="E155" s="288" t="s">
        <v>1580</v>
      </c>
      <c r="F155" s="289"/>
      <c r="G155" s="290" t="s">
        <v>20</v>
      </c>
      <c r="H155" s="277" t="s">
        <v>15</v>
      </c>
      <c r="I155" s="279">
        <f>(1679909)/1000*$I$5</f>
        <v>1679.9090000000001</v>
      </c>
      <c r="J155" s="279">
        <f>I155-(0)/1000*$I$5</f>
        <v>1679.9090000000001</v>
      </c>
      <c r="K155" s="367"/>
      <c r="L155" s="283"/>
    </row>
    <row r="156" spans="1:12" s="281" customFormat="1" ht="67.5" customHeight="1" x14ac:dyDescent="0.2">
      <c r="A156" s="277"/>
      <c r="B156" s="277" t="s">
        <v>1167</v>
      </c>
      <c r="C156" s="287" t="s">
        <v>1584</v>
      </c>
      <c r="D156" s="630"/>
      <c r="E156" s="288" t="s">
        <v>1583</v>
      </c>
      <c r="F156" s="289" t="s">
        <v>1585</v>
      </c>
      <c r="G156" s="290" t="s">
        <v>63</v>
      </c>
      <c r="H156" s="277" t="s">
        <v>1586</v>
      </c>
      <c r="I156" s="279">
        <f>(2625060)/1000*$I$5</f>
        <v>2625.06</v>
      </c>
      <c r="J156" s="279">
        <f>I156-(1755454)/1000*$I$5</f>
        <v>869.60599999999999</v>
      </c>
      <c r="K156" s="367"/>
      <c r="L156" s="283"/>
    </row>
    <row r="157" spans="1:12" s="281" customFormat="1" ht="67.5" customHeight="1" x14ac:dyDescent="0.2">
      <c r="A157" s="277"/>
      <c r="B157" s="277" t="s">
        <v>1168</v>
      </c>
      <c r="C157" s="287" t="s">
        <v>1588</v>
      </c>
      <c r="D157" s="367"/>
      <c r="E157" s="288" t="s">
        <v>1587</v>
      </c>
      <c r="F157" s="289" t="s">
        <v>1590</v>
      </c>
      <c r="G157" s="290" t="s">
        <v>1591</v>
      </c>
      <c r="H157" s="277" t="s">
        <v>872</v>
      </c>
      <c r="I157" s="279">
        <f>(244982)/1000*$I$5</f>
        <v>244.982</v>
      </c>
      <c r="J157" s="279">
        <f>I157-(0)/1000*$I$5</f>
        <v>244.982</v>
      </c>
      <c r="K157" s="367"/>
      <c r="L157" s="283"/>
    </row>
    <row r="158" spans="1:12" s="281" customFormat="1" ht="67.5" customHeight="1" x14ac:dyDescent="0.2">
      <c r="A158" s="277"/>
      <c r="B158" s="277" t="s">
        <v>1169</v>
      </c>
      <c r="C158" s="287" t="s">
        <v>1593</v>
      </c>
      <c r="D158" s="367"/>
      <c r="E158" s="288" t="s">
        <v>1592</v>
      </c>
      <c r="F158" s="289" t="s">
        <v>1598</v>
      </c>
      <c r="G158" s="290" t="s">
        <v>1591</v>
      </c>
      <c r="H158" s="277" t="s">
        <v>1586</v>
      </c>
      <c r="I158" s="279">
        <f>(369904)/1000*$I$5</f>
        <v>369.904</v>
      </c>
      <c r="J158" s="279">
        <f>I158-(0)/1000*$I$5</f>
        <v>369.904</v>
      </c>
      <c r="K158" s="367"/>
      <c r="L158" s="283"/>
    </row>
    <row r="159" spans="1:12" s="281" customFormat="1" ht="67.5" customHeight="1" x14ac:dyDescent="0.2">
      <c r="A159" s="277"/>
      <c r="B159" s="277" t="s">
        <v>1170</v>
      </c>
      <c r="C159" s="287" t="s">
        <v>1594</v>
      </c>
      <c r="D159" s="367"/>
      <c r="E159" s="288" t="s">
        <v>1601</v>
      </c>
      <c r="F159" s="289" t="s">
        <v>1595</v>
      </c>
      <c r="G159" s="290" t="s">
        <v>1596</v>
      </c>
      <c r="H159" s="284" t="s">
        <v>1597</v>
      </c>
      <c r="I159" s="279">
        <f>(850000)/1000*$I$5</f>
        <v>850</v>
      </c>
      <c r="J159" s="279">
        <f>I159-(0)/1000*$I$5</f>
        <v>850</v>
      </c>
      <c r="K159" s="367"/>
      <c r="L159" s="283"/>
    </row>
    <row r="160" spans="1:12" s="281" customFormat="1" ht="67.5" customHeight="1" x14ac:dyDescent="0.2">
      <c r="A160" s="277"/>
      <c r="B160" s="277" t="s">
        <v>2620</v>
      </c>
      <c r="C160" s="287" t="s">
        <v>1600</v>
      </c>
      <c r="D160" s="367"/>
      <c r="E160" s="288" t="s">
        <v>1602</v>
      </c>
      <c r="F160" s="289" t="s">
        <v>1599</v>
      </c>
      <c r="G160" s="290" t="s">
        <v>1603</v>
      </c>
      <c r="H160" s="284" t="s">
        <v>1604</v>
      </c>
      <c r="I160" s="279">
        <f>(1470000)/1000*$I$5</f>
        <v>1470</v>
      </c>
      <c r="J160" s="279">
        <f>I160-(0)/1000*$I$5</f>
        <v>1470</v>
      </c>
      <c r="K160" s="367"/>
      <c r="L160" s="283"/>
    </row>
    <row r="161" spans="1:13" ht="42" customHeight="1" x14ac:dyDescent="0.2">
      <c r="A161" s="241" t="s">
        <v>356</v>
      </c>
      <c r="B161" s="379" t="s">
        <v>343</v>
      </c>
      <c r="C161" s="242" t="s">
        <v>355</v>
      </c>
      <c r="D161" s="243"/>
      <c r="E161" s="291"/>
      <c r="F161" s="292"/>
      <c r="G161" s="293"/>
      <c r="H161" s="355"/>
      <c r="I161" s="355"/>
      <c r="J161" s="355"/>
      <c r="K161" s="357"/>
      <c r="L161" s="231"/>
    </row>
    <row r="162" spans="1:13" ht="108" x14ac:dyDescent="0.2">
      <c r="A162" s="56" t="s">
        <v>357</v>
      </c>
      <c r="B162" s="373" t="s">
        <v>917</v>
      </c>
      <c r="C162" s="222" t="s">
        <v>1162</v>
      </c>
      <c r="D162" s="361" t="s">
        <v>1159</v>
      </c>
      <c r="E162" s="244" t="s">
        <v>981</v>
      </c>
      <c r="F162" s="358" t="s">
        <v>1161</v>
      </c>
      <c r="G162" s="247" t="s">
        <v>132</v>
      </c>
      <c r="H162" s="187" t="s">
        <v>60</v>
      </c>
      <c r="I162" s="188">
        <f>(13558188)/1000*$I$5</f>
        <v>13558.188</v>
      </c>
      <c r="J162" s="188">
        <f>I162-(469389+1258717+530611+1765439)/1000*$I$5</f>
        <v>9534.0319999999992</v>
      </c>
      <c r="K162" s="358" t="s">
        <v>368</v>
      </c>
      <c r="L162" s="59"/>
      <c r="M162" s="248" t="s">
        <v>369</v>
      </c>
    </row>
    <row r="163" spans="1:13" ht="108" x14ac:dyDescent="0.2">
      <c r="A163" s="56" t="s">
        <v>360</v>
      </c>
      <c r="B163" s="373" t="s">
        <v>2621</v>
      </c>
      <c r="C163" s="222" t="s">
        <v>359</v>
      </c>
      <c r="D163" s="361" t="s">
        <v>1160</v>
      </c>
      <c r="E163" s="244" t="s">
        <v>1164</v>
      </c>
      <c r="F163" s="358" t="s">
        <v>1163</v>
      </c>
      <c r="G163" s="247" t="s">
        <v>91</v>
      </c>
      <c r="H163" s="187" t="s">
        <v>95</v>
      </c>
      <c r="I163" s="188">
        <f>(2385000)/1000*$I$5</f>
        <v>2385</v>
      </c>
      <c r="J163" s="188">
        <f t="shared" ref="J163:J168" si="6">I163-(0)/1000*$I$5</f>
        <v>2385</v>
      </c>
      <c r="K163" s="187" t="s">
        <v>371</v>
      </c>
      <c r="L163" s="187"/>
      <c r="M163" s="60" t="s">
        <v>370</v>
      </c>
    </row>
    <row r="164" spans="1:13" ht="77.25" customHeight="1" x14ac:dyDescent="0.2">
      <c r="A164" s="56" t="s">
        <v>366</v>
      </c>
      <c r="B164" s="373" t="s">
        <v>2622</v>
      </c>
      <c r="C164" s="356" t="s">
        <v>1165</v>
      </c>
      <c r="D164" s="608" t="s">
        <v>1179</v>
      </c>
      <c r="E164" s="249" t="s">
        <v>1166</v>
      </c>
      <c r="F164" s="356" t="s">
        <v>1274</v>
      </c>
      <c r="G164" s="187" t="s">
        <v>4</v>
      </c>
      <c r="H164" s="187" t="s">
        <v>5</v>
      </c>
      <c r="I164" s="188">
        <f>(700000)/1000*$I$5</f>
        <v>700</v>
      </c>
      <c r="J164" s="188">
        <f t="shared" si="6"/>
        <v>700</v>
      </c>
      <c r="K164" s="612" t="s">
        <v>536</v>
      </c>
      <c r="L164" s="228"/>
      <c r="M164" s="248" t="s">
        <v>1176</v>
      </c>
    </row>
    <row r="165" spans="1:13" ht="48" x14ac:dyDescent="0.2">
      <c r="A165" s="56" t="s">
        <v>1167</v>
      </c>
      <c r="B165" s="373" t="s">
        <v>2623</v>
      </c>
      <c r="C165" s="356" t="s">
        <v>1165</v>
      </c>
      <c r="D165" s="608"/>
      <c r="E165" s="249" t="s">
        <v>1171</v>
      </c>
      <c r="F165" s="356" t="s">
        <v>1275</v>
      </c>
      <c r="G165" s="187" t="s">
        <v>4</v>
      </c>
      <c r="H165" s="187" t="s">
        <v>5</v>
      </c>
      <c r="I165" s="188">
        <f>(10567316)/1000*$I$5</f>
        <v>10567.316000000001</v>
      </c>
      <c r="J165" s="188">
        <f t="shared" si="6"/>
        <v>10567.316000000001</v>
      </c>
      <c r="K165" s="612"/>
      <c r="L165" s="228"/>
      <c r="M165" s="248"/>
    </row>
    <row r="166" spans="1:13" ht="51" customHeight="1" x14ac:dyDescent="0.2">
      <c r="A166" s="56" t="s">
        <v>1168</v>
      </c>
      <c r="B166" s="373" t="s">
        <v>2624</v>
      </c>
      <c r="C166" s="356" t="s">
        <v>1165</v>
      </c>
      <c r="D166" s="608"/>
      <c r="E166" s="249" t="s">
        <v>1172</v>
      </c>
      <c r="F166" s="356" t="s">
        <v>1173</v>
      </c>
      <c r="G166" s="187" t="s">
        <v>4</v>
      </c>
      <c r="H166" s="187" t="s">
        <v>84</v>
      </c>
      <c r="I166" s="188">
        <f>(8421143)/1000*$I$5</f>
        <v>8421.143</v>
      </c>
      <c r="J166" s="188">
        <f t="shared" si="6"/>
        <v>8421.143</v>
      </c>
      <c r="K166" s="612"/>
      <c r="L166" s="228"/>
      <c r="M166" s="248"/>
    </row>
    <row r="167" spans="1:13" ht="132" x14ac:dyDescent="0.2">
      <c r="A167" s="56" t="s">
        <v>1169</v>
      </c>
      <c r="B167" s="373" t="s">
        <v>2625</v>
      </c>
      <c r="C167" s="356" t="s">
        <v>1165</v>
      </c>
      <c r="D167" s="608"/>
      <c r="E167" s="249" t="s">
        <v>1174</v>
      </c>
      <c r="F167" s="356" t="s">
        <v>1175</v>
      </c>
      <c r="G167" s="187" t="s">
        <v>4</v>
      </c>
      <c r="H167" s="187" t="s">
        <v>84</v>
      </c>
      <c r="I167" s="188">
        <f>(7072314)/1000*$I$5</f>
        <v>7072.3140000000003</v>
      </c>
      <c r="J167" s="188">
        <f t="shared" si="6"/>
        <v>7072.3140000000003</v>
      </c>
      <c r="K167" s="612"/>
      <c r="L167" s="228"/>
      <c r="M167" s="248"/>
    </row>
    <row r="168" spans="1:13" ht="60" x14ac:dyDescent="0.2">
      <c r="A168" s="56" t="s">
        <v>1170</v>
      </c>
      <c r="B168" s="373" t="s">
        <v>2626</v>
      </c>
      <c r="C168" s="356" t="s">
        <v>1165</v>
      </c>
      <c r="D168" s="608"/>
      <c r="E168" s="249" t="s">
        <v>1177</v>
      </c>
      <c r="F168" s="356" t="s">
        <v>1178</v>
      </c>
      <c r="G168" s="187" t="s">
        <v>35</v>
      </c>
      <c r="H168" s="187" t="s">
        <v>5</v>
      </c>
      <c r="I168" s="188">
        <f>(6014061)/1000*$I$5</f>
        <v>6014.0609999999997</v>
      </c>
      <c r="J168" s="188">
        <f t="shared" si="6"/>
        <v>6014.0609999999997</v>
      </c>
      <c r="K168" s="612"/>
      <c r="L168" s="228"/>
      <c r="M168" s="248"/>
    </row>
    <row r="169" spans="1:13" s="281" customFormat="1" ht="96" x14ac:dyDescent="0.2">
      <c r="A169" s="277"/>
      <c r="B169" s="300"/>
      <c r="C169" s="393" t="s">
        <v>2627</v>
      </c>
      <c r="D169" s="366" t="s">
        <v>2329</v>
      </c>
      <c r="E169" s="394" t="s">
        <v>2330</v>
      </c>
      <c r="F169" s="366" t="s">
        <v>2327</v>
      </c>
      <c r="G169" s="300" t="s">
        <v>1591</v>
      </c>
      <c r="H169" s="300" t="s">
        <v>1579</v>
      </c>
      <c r="I169" s="301">
        <f>(500000)/1000*$I$5</f>
        <v>500</v>
      </c>
      <c r="J169" s="301">
        <f>I169-(0)/1000*$I$5</f>
        <v>500</v>
      </c>
      <c r="K169" s="367" t="s">
        <v>2328</v>
      </c>
      <c r="L169" s="345"/>
      <c r="M169" s="304"/>
    </row>
    <row r="170" spans="1:13" ht="227.25" customHeight="1" x14ac:dyDescent="0.2">
      <c r="A170" s="250" t="s">
        <v>343</v>
      </c>
      <c r="B170" s="294" t="s">
        <v>1184</v>
      </c>
      <c r="C170" s="355" t="s">
        <v>1182</v>
      </c>
      <c r="D170" s="350" t="s">
        <v>1112</v>
      </c>
      <c r="E170" s="182" t="s">
        <v>953</v>
      </c>
      <c r="F170" s="357" t="s">
        <v>1183</v>
      </c>
      <c r="G170" s="353" t="s">
        <v>101</v>
      </c>
      <c r="H170" s="353" t="s">
        <v>101</v>
      </c>
      <c r="I170" s="196">
        <f>(623681)/1000*$I$5</f>
        <v>623.68100000000004</v>
      </c>
      <c r="J170" s="196">
        <f>I170-(0)/1000*$I$5</f>
        <v>623.68100000000004</v>
      </c>
      <c r="K170" s="358" t="s">
        <v>231</v>
      </c>
      <c r="L170" s="228"/>
      <c r="M170" s="248"/>
    </row>
    <row r="171" spans="1:13" ht="96" customHeight="1" x14ac:dyDescent="0.2">
      <c r="A171" s="251" t="s">
        <v>1184</v>
      </c>
      <c r="B171" s="284" t="s">
        <v>362</v>
      </c>
      <c r="C171" s="356" t="s">
        <v>672</v>
      </c>
      <c r="D171" s="582" t="s">
        <v>1185</v>
      </c>
      <c r="E171" s="176" t="s">
        <v>984</v>
      </c>
      <c r="F171" s="358" t="s">
        <v>1186</v>
      </c>
      <c r="G171" s="187" t="s">
        <v>126</v>
      </c>
      <c r="H171" s="187" t="s">
        <v>295</v>
      </c>
      <c r="I171" s="188">
        <f>(83139502.68)/1000*$I$5</f>
        <v>83139.502680000005</v>
      </c>
      <c r="J171" s="188">
        <f>I171-(6200000+10529012+8438715+108814)/1000*$I$5</f>
        <v>57862.961680000008</v>
      </c>
      <c r="K171" s="359" t="s">
        <v>341</v>
      </c>
      <c r="L171" s="228"/>
    </row>
    <row r="172" spans="1:13" ht="34.5" customHeight="1" x14ac:dyDescent="0.2">
      <c r="A172" s="56" t="s">
        <v>362</v>
      </c>
      <c r="B172" s="284" t="s">
        <v>363</v>
      </c>
      <c r="C172" s="607" t="s">
        <v>1705</v>
      </c>
      <c r="D172" s="583"/>
      <c r="E172" s="252" t="s">
        <v>1197</v>
      </c>
      <c r="F172" s="253" t="s">
        <v>1017</v>
      </c>
      <c r="G172" s="353"/>
      <c r="H172" s="254"/>
      <c r="I172" s="196"/>
      <c r="J172" s="196"/>
      <c r="K172" s="614" t="s">
        <v>348</v>
      </c>
      <c r="L172" s="78"/>
      <c r="M172" s="248" t="s">
        <v>345</v>
      </c>
    </row>
    <row r="173" spans="1:13" ht="48" x14ac:dyDescent="0.2">
      <c r="A173" s="56" t="s">
        <v>1189</v>
      </c>
      <c r="B173" s="277" t="s">
        <v>1199</v>
      </c>
      <c r="C173" s="608"/>
      <c r="D173" s="583"/>
      <c r="E173" s="255" t="s">
        <v>1187</v>
      </c>
      <c r="F173" s="256" t="s">
        <v>1188</v>
      </c>
      <c r="G173" s="187" t="s">
        <v>176</v>
      </c>
      <c r="H173" s="257" t="s">
        <v>48</v>
      </c>
      <c r="I173" s="188">
        <f>(18470000)/1000*$I$5</f>
        <v>18470</v>
      </c>
      <c r="J173" s="188">
        <f>I173-(6226282)/1000*$I$5</f>
        <v>12243.718000000001</v>
      </c>
      <c r="K173" s="615"/>
      <c r="L173" s="78"/>
      <c r="M173" s="248"/>
    </row>
    <row r="174" spans="1:13" ht="48" x14ac:dyDescent="0.2">
      <c r="A174" s="56" t="s">
        <v>1190</v>
      </c>
      <c r="B174" s="277" t="s">
        <v>1200</v>
      </c>
      <c r="C174" s="608"/>
      <c r="D174" s="583"/>
      <c r="E174" s="255" t="s">
        <v>1193</v>
      </c>
      <c r="F174" s="256" t="s">
        <v>1194</v>
      </c>
      <c r="G174" s="187" t="s">
        <v>410</v>
      </c>
      <c r="H174" s="257" t="s">
        <v>48</v>
      </c>
      <c r="I174" s="188">
        <f>(6000000)/1000*$I$5</f>
        <v>6000</v>
      </c>
      <c r="J174" s="188">
        <f>I174-(584574)/1000*$I$5</f>
        <v>5415.4260000000004</v>
      </c>
      <c r="K174" s="615"/>
      <c r="L174" s="78"/>
      <c r="M174" s="248"/>
    </row>
    <row r="175" spans="1:13" ht="36" x14ac:dyDescent="0.2">
      <c r="A175" s="56" t="s">
        <v>1191</v>
      </c>
      <c r="B175" s="277" t="s">
        <v>1201</v>
      </c>
      <c r="C175" s="608"/>
      <c r="D175" s="583"/>
      <c r="E175" s="255" t="s">
        <v>1195</v>
      </c>
      <c r="F175" s="256" t="s">
        <v>1196</v>
      </c>
      <c r="G175" s="187" t="s">
        <v>78</v>
      </c>
      <c r="H175" s="257" t="s">
        <v>11</v>
      </c>
      <c r="I175" s="188">
        <f>(43638688)/1000*$I$5</f>
        <v>43638.688000000002</v>
      </c>
      <c r="J175" s="188">
        <f>I175-(1856603+12527+625000)/1000*$I$5</f>
        <v>41144.558000000005</v>
      </c>
      <c r="K175" s="615"/>
      <c r="L175" s="78"/>
      <c r="M175" s="248"/>
    </row>
    <row r="176" spans="1:13" ht="57.75" customHeight="1" x14ac:dyDescent="0.2">
      <c r="A176" s="56" t="s">
        <v>1192</v>
      </c>
      <c r="B176" s="277" t="s">
        <v>1202</v>
      </c>
      <c r="C176" s="608"/>
      <c r="D176" s="583"/>
      <c r="E176" s="255" t="s">
        <v>1198</v>
      </c>
      <c r="F176" s="256" t="s">
        <v>1188</v>
      </c>
      <c r="G176" s="187" t="s">
        <v>35</v>
      </c>
      <c r="H176" s="257" t="s">
        <v>11</v>
      </c>
      <c r="I176" s="188">
        <f>(35800000)/1000*$I$5</f>
        <v>35800</v>
      </c>
      <c r="J176" s="188">
        <f>I176-(1161147+807520+1980019)/1000*$I$5</f>
        <v>31851.313999999998</v>
      </c>
      <c r="K176" s="616"/>
      <c r="L176" s="78"/>
      <c r="M176" s="248"/>
    </row>
    <row r="177" spans="1:13" ht="37.5" customHeight="1" x14ac:dyDescent="0.2">
      <c r="A177" s="250" t="s">
        <v>363</v>
      </c>
      <c r="B177" s="380" t="s">
        <v>392</v>
      </c>
      <c r="C177" s="360" t="s">
        <v>347</v>
      </c>
      <c r="D177" s="583"/>
      <c r="E177" s="182" t="s">
        <v>1197</v>
      </c>
      <c r="F177" s="259"/>
      <c r="G177" s="260"/>
      <c r="H177" s="353"/>
      <c r="I177" s="196"/>
      <c r="J177" s="196"/>
      <c r="K177" s="607" t="s">
        <v>349</v>
      </c>
      <c r="L177" s="78"/>
      <c r="M177" s="248" t="s">
        <v>350</v>
      </c>
    </row>
    <row r="178" spans="1:13" ht="56.25" customHeight="1" x14ac:dyDescent="0.2">
      <c r="A178" s="261" t="s">
        <v>1199</v>
      </c>
      <c r="B178" s="373" t="s">
        <v>2628</v>
      </c>
      <c r="C178" s="358"/>
      <c r="D178" s="583"/>
      <c r="E178" s="255" t="s">
        <v>1204</v>
      </c>
      <c r="F178" s="358" t="s">
        <v>1205</v>
      </c>
      <c r="G178" s="187" t="s">
        <v>176</v>
      </c>
      <c r="H178" s="247" t="s">
        <v>54</v>
      </c>
      <c r="I178" s="262">
        <f>(17300000)/1000*$I$5</f>
        <v>17300</v>
      </c>
      <c r="J178" s="188">
        <f>I178-(2581571+57053)/1000*$I$5</f>
        <v>14661.376</v>
      </c>
      <c r="K178" s="609"/>
      <c r="L178" s="78"/>
      <c r="M178" s="248"/>
    </row>
    <row r="179" spans="1:13" ht="51.75" customHeight="1" x14ac:dyDescent="0.2">
      <c r="A179" s="261" t="s">
        <v>1200</v>
      </c>
      <c r="B179" s="373" t="s">
        <v>2629</v>
      </c>
      <c r="C179" s="358"/>
      <c r="D179" s="583"/>
      <c r="E179" s="255" t="s">
        <v>1203</v>
      </c>
      <c r="F179" s="358" t="s">
        <v>1205</v>
      </c>
      <c r="G179" s="187" t="s">
        <v>181</v>
      </c>
      <c r="H179" s="247" t="s">
        <v>7</v>
      </c>
      <c r="I179" s="262">
        <f>(16900000)/1000*$I$5</f>
        <v>16900</v>
      </c>
      <c r="J179" s="188">
        <f>I179-(0)/1000*$I$5</f>
        <v>16900</v>
      </c>
      <c r="K179" s="609"/>
      <c r="L179" s="78"/>
      <c r="M179" s="248"/>
    </row>
    <row r="180" spans="1:13" ht="30" customHeight="1" x14ac:dyDescent="0.2">
      <c r="A180" s="261" t="s">
        <v>1201</v>
      </c>
      <c r="B180" s="373" t="s">
        <v>2630</v>
      </c>
      <c r="C180" s="358"/>
      <c r="D180" s="583"/>
      <c r="E180" s="255" t="s">
        <v>1206</v>
      </c>
      <c r="F180" s="358" t="s">
        <v>1207</v>
      </c>
      <c r="G180" s="187" t="s">
        <v>181</v>
      </c>
      <c r="H180" s="247" t="s">
        <v>54</v>
      </c>
      <c r="I180" s="262">
        <f>(2100000)/1000*$I$5</f>
        <v>2100</v>
      </c>
      <c r="J180" s="188">
        <f>I180-(300000)/1000*$I$5</f>
        <v>1800</v>
      </c>
      <c r="K180" s="609"/>
      <c r="L180" s="78"/>
      <c r="M180" s="248"/>
    </row>
    <row r="181" spans="1:13" ht="55.5" customHeight="1" x14ac:dyDescent="0.2">
      <c r="A181" s="261" t="s">
        <v>1202</v>
      </c>
      <c r="B181" s="373" t="s">
        <v>2631</v>
      </c>
      <c r="C181" s="358"/>
      <c r="D181" s="583"/>
      <c r="E181" s="255" t="s">
        <v>1208</v>
      </c>
      <c r="F181" s="358" t="s">
        <v>1205</v>
      </c>
      <c r="G181" s="187" t="s">
        <v>4</v>
      </c>
      <c r="H181" s="247" t="s">
        <v>9</v>
      </c>
      <c r="I181" s="262">
        <f>(19600000)/1000*$I$5</f>
        <v>19600</v>
      </c>
      <c r="J181" s="188">
        <f>I181-(0)/1000*$I$5</f>
        <v>19600</v>
      </c>
      <c r="K181" s="610"/>
      <c r="L181" s="78"/>
      <c r="M181" s="248"/>
    </row>
    <row r="182" spans="1:13" s="281" customFormat="1" ht="120" x14ac:dyDescent="0.2">
      <c r="A182" s="305" t="s">
        <v>1621</v>
      </c>
      <c r="B182" s="373" t="s">
        <v>2632</v>
      </c>
      <c r="C182" s="367"/>
      <c r="D182" s="367" t="s">
        <v>1625</v>
      </c>
      <c r="E182" s="306" t="s">
        <v>1622</v>
      </c>
      <c r="F182" s="367" t="s">
        <v>1624</v>
      </c>
      <c r="G182" s="277" t="s">
        <v>872</v>
      </c>
      <c r="H182" s="290" t="s">
        <v>1586</v>
      </c>
      <c r="I182" s="307">
        <f>(2200000)/1000*$I$5</f>
        <v>2200</v>
      </c>
      <c r="J182" s="279">
        <f>I182-(0)/1000*$I$5</f>
        <v>2200</v>
      </c>
      <c r="K182" s="308" t="s">
        <v>1623</v>
      </c>
      <c r="L182" s="303"/>
      <c r="M182" s="304"/>
    </row>
    <row r="183" spans="1:13" ht="108" customHeight="1" x14ac:dyDescent="0.2">
      <c r="A183" s="383">
        <v>14</v>
      </c>
      <c r="B183" s="300" t="s">
        <v>393</v>
      </c>
      <c r="C183" s="4" t="s">
        <v>1276</v>
      </c>
      <c r="D183" s="582" t="s">
        <v>1185</v>
      </c>
      <c r="E183" s="183" t="s">
        <v>1210</v>
      </c>
      <c r="F183" s="66" t="s">
        <v>1209</v>
      </c>
      <c r="G183" s="77" t="s">
        <v>51</v>
      </c>
      <c r="H183" s="77" t="s">
        <v>52</v>
      </c>
      <c r="I183" s="195">
        <f>(6478556)/1000*$I$5</f>
        <v>6478.5559999999996</v>
      </c>
      <c r="J183" s="195">
        <f>I183-(5170957)/1000*$I$5</f>
        <v>1307.5989999999993</v>
      </c>
      <c r="K183" s="66" t="s">
        <v>352</v>
      </c>
      <c r="L183" s="78"/>
      <c r="M183" s="60" t="s">
        <v>353</v>
      </c>
    </row>
    <row r="184" spans="1:13" ht="28.5" customHeight="1" x14ac:dyDescent="0.2">
      <c r="A184" s="250" t="s">
        <v>393</v>
      </c>
      <c r="B184" s="294" t="s">
        <v>394</v>
      </c>
      <c r="C184" s="611" t="s">
        <v>986</v>
      </c>
      <c r="D184" s="583"/>
      <c r="E184" s="252"/>
      <c r="F184" s="253"/>
      <c r="G184" s="353"/>
      <c r="H184" s="254"/>
      <c r="I184" s="196"/>
      <c r="J184" s="196"/>
      <c r="K184" s="611" t="s">
        <v>372</v>
      </c>
      <c r="L184" s="78"/>
    </row>
    <row r="185" spans="1:13" ht="36" x14ac:dyDescent="0.2">
      <c r="A185" s="261" t="s">
        <v>1212</v>
      </c>
      <c r="B185" s="373" t="s">
        <v>2633</v>
      </c>
      <c r="C185" s="612"/>
      <c r="D185" s="583"/>
      <c r="E185" s="255" t="s">
        <v>1222</v>
      </c>
      <c r="F185" s="256" t="s">
        <v>1211</v>
      </c>
      <c r="G185" s="187" t="s">
        <v>78</v>
      </c>
      <c r="H185" s="257" t="s">
        <v>95</v>
      </c>
      <c r="I185" s="188">
        <f>(24038994)/1000*$I$5</f>
        <v>24038.993999999999</v>
      </c>
      <c r="J185" s="188">
        <f>I185-(2293986+1543444+4453835)/1000*$I$5</f>
        <v>15747.728999999999</v>
      </c>
      <c r="K185" s="612"/>
      <c r="L185" s="78"/>
      <c r="M185" s="248" t="s">
        <v>354</v>
      </c>
    </row>
    <row r="186" spans="1:13" ht="48" x14ac:dyDescent="0.2">
      <c r="A186" s="263" t="s">
        <v>1213</v>
      </c>
      <c r="B186" s="302" t="s">
        <v>2634</v>
      </c>
      <c r="C186" s="613"/>
      <c r="D186" s="583"/>
      <c r="E186" s="255" t="s">
        <v>1221</v>
      </c>
      <c r="F186" s="256" t="s">
        <v>1214</v>
      </c>
      <c r="G186" s="187" t="s">
        <v>49</v>
      </c>
      <c r="H186" s="257" t="s">
        <v>9</v>
      </c>
      <c r="I186" s="188">
        <f>(777000)/1000*$I$5</f>
        <v>777</v>
      </c>
      <c r="J186" s="188">
        <f>I186-(0)/1000*$I$5</f>
        <v>777</v>
      </c>
      <c r="K186" s="613"/>
      <c r="L186" s="78"/>
      <c r="M186" s="248"/>
    </row>
    <row r="187" spans="1:13" ht="48" x14ac:dyDescent="0.2">
      <c r="A187" s="112" t="s">
        <v>394</v>
      </c>
      <c r="B187" s="300" t="s">
        <v>395</v>
      </c>
      <c r="C187" s="355" t="s">
        <v>1706</v>
      </c>
      <c r="D187" s="583"/>
      <c r="E187" s="183" t="s">
        <v>1220</v>
      </c>
      <c r="F187" s="131" t="s">
        <v>1215</v>
      </c>
      <c r="G187" s="77" t="s">
        <v>124</v>
      </c>
      <c r="H187" s="77" t="s">
        <v>35</v>
      </c>
      <c r="I187" s="195">
        <f>(5116926)/1000*$I$5</f>
        <v>5116.9260000000004</v>
      </c>
      <c r="J187" s="195">
        <f>I187-(199477+243074)/1000*$I$5</f>
        <v>4674.375</v>
      </c>
      <c r="K187" s="66" t="s">
        <v>373</v>
      </c>
      <c r="L187" s="78"/>
      <c r="M187" s="248" t="s">
        <v>374</v>
      </c>
    </row>
    <row r="188" spans="1:13" ht="60" x14ac:dyDescent="0.2">
      <c r="A188" s="112" t="s">
        <v>395</v>
      </c>
      <c r="B188" s="300" t="s">
        <v>396</v>
      </c>
      <c r="C188" s="355" t="s">
        <v>802</v>
      </c>
      <c r="D188" s="583"/>
      <c r="E188" s="183" t="s">
        <v>1219</v>
      </c>
      <c r="F188" s="131" t="s">
        <v>1217</v>
      </c>
      <c r="G188" s="77" t="s">
        <v>132</v>
      </c>
      <c r="H188" s="77" t="s">
        <v>5</v>
      </c>
      <c r="I188" s="195">
        <f>(1730000)/1000*$I$5</f>
        <v>1730</v>
      </c>
      <c r="J188" s="195">
        <f>I188-(422391)/1000*$I$5</f>
        <v>1307.6089999999999</v>
      </c>
      <c r="K188" s="66" t="s">
        <v>375</v>
      </c>
      <c r="L188" s="78"/>
      <c r="M188" s="248" t="s">
        <v>376</v>
      </c>
    </row>
    <row r="189" spans="1:13" ht="48" x14ac:dyDescent="0.2">
      <c r="A189" s="112" t="s">
        <v>396</v>
      </c>
      <c r="B189" s="300" t="s">
        <v>397</v>
      </c>
      <c r="C189" s="355" t="s">
        <v>1216</v>
      </c>
      <c r="D189" s="583"/>
      <c r="E189" s="183" t="s">
        <v>1218</v>
      </c>
      <c r="F189" s="131" t="s">
        <v>1277</v>
      </c>
      <c r="G189" s="77" t="s">
        <v>488</v>
      </c>
      <c r="H189" s="77" t="s">
        <v>60</v>
      </c>
      <c r="I189" s="195">
        <f>(1570000)/1000*$I$5</f>
        <v>1570</v>
      </c>
      <c r="J189" s="195">
        <f t="shared" ref="J189:J196" si="7">I189-(0)/1000*$I$5</f>
        <v>1570</v>
      </c>
      <c r="K189" s="66"/>
      <c r="L189" s="78"/>
      <c r="M189" s="248"/>
    </row>
    <row r="190" spans="1:13" s="281" customFormat="1" ht="120" x14ac:dyDescent="0.2">
      <c r="A190" s="302"/>
      <c r="B190" s="300" t="s">
        <v>398</v>
      </c>
      <c r="C190" s="364" t="s">
        <v>1617</v>
      </c>
      <c r="D190" s="367" t="s">
        <v>1625</v>
      </c>
      <c r="E190" s="298" t="s">
        <v>1620</v>
      </c>
      <c r="F190" s="299" t="s">
        <v>1618</v>
      </c>
      <c r="G190" s="300" t="s">
        <v>1591</v>
      </c>
      <c r="H190" s="300" t="s">
        <v>1596</v>
      </c>
      <c r="I190" s="301">
        <f>(1470000)/1000*$I$5</f>
        <v>1470</v>
      </c>
      <c r="J190" s="301">
        <f t="shared" si="7"/>
        <v>1470</v>
      </c>
      <c r="K190" s="299" t="s">
        <v>1619</v>
      </c>
      <c r="L190" s="303"/>
      <c r="M190" s="304"/>
    </row>
    <row r="191" spans="1:13" s="281" customFormat="1" ht="48" x14ac:dyDescent="0.2">
      <c r="A191" s="302"/>
      <c r="B191" s="300" t="s">
        <v>403</v>
      </c>
      <c r="C191" s="364" t="s">
        <v>1645</v>
      </c>
      <c r="D191" s="367"/>
      <c r="E191" s="298" t="s">
        <v>1646</v>
      </c>
      <c r="F191" s="299" t="s">
        <v>1647</v>
      </c>
      <c r="G191" s="300" t="s">
        <v>1643</v>
      </c>
      <c r="H191" s="300" t="s">
        <v>1527</v>
      </c>
      <c r="I191" s="301">
        <f>(370000)/1000*$I$5</f>
        <v>370</v>
      </c>
      <c r="J191" s="301">
        <f t="shared" si="7"/>
        <v>370</v>
      </c>
      <c r="K191" s="299" t="s">
        <v>1648</v>
      </c>
      <c r="L191" s="303"/>
      <c r="M191" s="304"/>
    </row>
    <row r="192" spans="1:13" ht="48" x14ac:dyDescent="0.2">
      <c r="A192" s="75" t="s">
        <v>397</v>
      </c>
      <c r="B192" s="300" t="s">
        <v>408</v>
      </c>
      <c r="C192" s="355" t="s">
        <v>379</v>
      </c>
      <c r="D192" s="232"/>
      <c r="E192" s="183" t="s">
        <v>1230</v>
      </c>
      <c r="F192" s="131" t="s">
        <v>1223</v>
      </c>
      <c r="G192" s="77" t="s">
        <v>14</v>
      </c>
      <c r="H192" s="77" t="s">
        <v>7</v>
      </c>
      <c r="I192" s="195">
        <f>(990000)/1000*$I$5</f>
        <v>990</v>
      </c>
      <c r="J192" s="195">
        <f t="shared" si="7"/>
        <v>990</v>
      </c>
      <c r="K192" s="66" t="s">
        <v>378</v>
      </c>
      <c r="L192" s="78"/>
      <c r="M192" s="248" t="s">
        <v>380</v>
      </c>
    </row>
    <row r="193" spans="1:13" ht="80.25" customHeight="1" x14ac:dyDescent="0.2">
      <c r="A193" s="75" t="s">
        <v>398</v>
      </c>
      <c r="B193" s="300" t="s">
        <v>416</v>
      </c>
      <c r="C193" s="355" t="s">
        <v>1225</v>
      </c>
      <c r="D193" s="583" t="s">
        <v>1185</v>
      </c>
      <c r="E193" s="183" t="s">
        <v>1231</v>
      </c>
      <c r="F193" s="131" t="s">
        <v>1224</v>
      </c>
      <c r="G193" s="77" t="s">
        <v>24</v>
      </c>
      <c r="H193" s="77" t="s">
        <v>11</v>
      </c>
      <c r="I193" s="195">
        <f>(1430000)/1000*$I$5</f>
        <v>1430</v>
      </c>
      <c r="J193" s="195">
        <f t="shared" si="7"/>
        <v>1430</v>
      </c>
      <c r="K193" s="66" t="s">
        <v>382</v>
      </c>
      <c r="L193" s="78"/>
      <c r="M193" s="68" t="s">
        <v>383</v>
      </c>
    </row>
    <row r="194" spans="1:13" ht="48" x14ac:dyDescent="0.2">
      <c r="A194" s="75" t="s">
        <v>403</v>
      </c>
      <c r="B194" s="300" t="s">
        <v>418</v>
      </c>
      <c r="C194" s="355" t="s">
        <v>1227</v>
      </c>
      <c r="D194" s="583"/>
      <c r="E194" s="183" t="s">
        <v>1229</v>
      </c>
      <c r="F194" s="131" t="s">
        <v>1226</v>
      </c>
      <c r="G194" s="77" t="s">
        <v>91</v>
      </c>
      <c r="H194" s="77" t="s">
        <v>9</v>
      </c>
      <c r="I194" s="195">
        <f>(1269000)/1000*$I$5</f>
        <v>1269</v>
      </c>
      <c r="J194" s="195">
        <f t="shared" si="7"/>
        <v>1269</v>
      </c>
      <c r="K194" s="66" t="s">
        <v>384</v>
      </c>
      <c r="L194" s="78"/>
      <c r="M194" s="69" t="s">
        <v>385</v>
      </c>
    </row>
    <row r="195" spans="1:13" ht="108" customHeight="1" x14ac:dyDescent="0.2">
      <c r="A195" s="75" t="s">
        <v>408</v>
      </c>
      <c r="B195" s="300" t="s">
        <v>421</v>
      </c>
      <c r="C195" s="355" t="s">
        <v>1232</v>
      </c>
      <c r="D195" s="583" t="s">
        <v>1233</v>
      </c>
      <c r="E195" s="183" t="s">
        <v>1228</v>
      </c>
      <c r="F195" s="131" t="s">
        <v>1234</v>
      </c>
      <c r="G195" s="77" t="s">
        <v>103</v>
      </c>
      <c r="H195" s="77" t="s">
        <v>16</v>
      </c>
      <c r="I195" s="195">
        <f>(1511338)/1000*$I$5</f>
        <v>1511.338</v>
      </c>
      <c r="J195" s="195">
        <f t="shared" si="7"/>
        <v>1511.338</v>
      </c>
      <c r="K195" s="357"/>
      <c r="L195" s="231"/>
      <c r="M195" s="69"/>
    </row>
    <row r="196" spans="1:13" s="281" customFormat="1" ht="108" customHeight="1" x14ac:dyDescent="0.2">
      <c r="A196" s="277"/>
      <c r="B196" s="277" t="s">
        <v>2635</v>
      </c>
      <c r="C196" s="364" t="s">
        <v>1227</v>
      </c>
      <c r="D196" s="583"/>
      <c r="E196" s="298" t="s">
        <v>1640</v>
      </c>
      <c r="F196" s="299" t="s">
        <v>1641</v>
      </c>
      <c r="G196" s="300" t="s">
        <v>1643</v>
      </c>
      <c r="H196" s="309" t="s">
        <v>1644</v>
      </c>
      <c r="I196" s="301">
        <f>(350000)/1000*$I$5</f>
        <v>350</v>
      </c>
      <c r="J196" s="301">
        <f t="shared" si="7"/>
        <v>350</v>
      </c>
      <c r="K196" s="368" t="s">
        <v>1642</v>
      </c>
      <c r="L196" s="312"/>
      <c r="M196" s="313"/>
    </row>
    <row r="197" spans="1:13" ht="54" customHeight="1" x14ac:dyDescent="0.2">
      <c r="A197" s="250" t="s">
        <v>416</v>
      </c>
      <c r="B197" s="294" t="s">
        <v>434</v>
      </c>
      <c r="C197" s="355" t="s">
        <v>673</v>
      </c>
      <c r="D197" s="583"/>
      <c r="E197" s="183" t="s">
        <v>387</v>
      </c>
      <c r="F197" s="131" t="s">
        <v>1235</v>
      </c>
      <c r="G197" s="77" t="s">
        <v>16</v>
      </c>
      <c r="H197" s="77" t="s">
        <v>15</v>
      </c>
      <c r="I197" s="195">
        <f>(5970000)/1000*$I$5</f>
        <v>5970</v>
      </c>
      <c r="J197" s="195">
        <f>I197-(404688+1840498+475320+23715)/1000*$I$5</f>
        <v>3225.779</v>
      </c>
      <c r="K197" s="357" t="s">
        <v>386</v>
      </c>
      <c r="L197" s="231"/>
      <c r="M197" s="68" t="s">
        <v>387</v>
      </c>
    </row>
    <row r="198" spans="1:13" s="281" customFormat="1" ht="90" customHeight="1" x14ac:dyDescent="0.2">
      <c r="A198" s="294"/>
      <c r="B198" s="294" t="s">
        <v>2636</v>
      </c>
      <c r="C198" s="635" t="s">
        <v>2049</v>
      </c>
      <c r="D198" s="367"/>
      <c r="E198" s="278" t="s">
        <v>1605</v>
      </c>
      <c r="F198" s="367" t="s">
        <v>1608</v>
      </c>
      <c r="G198" s="277" t="s">
        <v>1606</v>
      </c>
      <c r="H198" s="277" t="s">
        <v>63</v>
      </c>
      <c r="I198" s="279">
        <f>(2310000)/1000*$I$5</f>
        <v>2310</v>
      </c>
      <c r="J198" s="279">
        <f t="shared" ref="J198:J214" si="8">I198-(0)/1000*$I$5</f>
        <v>2310</v>
      </c>
      <c r="K198" s="368"/>
      <c r="L198" s="295"/>
      <c r="M198" s="296"/>
    </row>
    <row r="199" spans="1:13" s="281" customFormat="1" ht="107.25" customHeight="1" x14ac:dyDescent="0.2">
      <c r="A199" s="294"/>
      <c r="B199" s="294" t="s">
        <v>2637</v>
      </c>
      <c r="C199" s="635"/>
      <c r="D199" s="367"/>
      <c r="E199" s="278" t="s">
        <v>1609</v>
      </c>
      <c r="F199" s="367" t="s">
        <v>1607</v>
      </c>
      <c r="G199" s="277" t="s">
        <v>1559</v>
      </c>
      <c r="H199" s="277" t="s">
        <v>1559</v>
      </c>
      <c r="I199" s="279">
        <f>(545000)/1000*$I$5</f>
        <v>545</v>
      </c>
      <c r="J199" s="279">
        <f t="shared" si="8"/>
        <v>545</v>
      </c>
      <c r="K199" s="368"/>
      <c r="L199" s="295"/>
      <c r="M199" s="296"/>
    </row>
    <row r="200" spans="1:13" s="281" customFormat="1" ht="108" x14ac:dyDescent="0.2">
      <c r="A200" s="294"/>
      <c r="B200" s="294" t="s">
        <v>2638</v>
      </c>
      <c r="C200" s="635"/>
      <c r="D200" s="367"/>
      <c r="E200" s="278" t="s">
        <v>1610</v>
      </c>
      <c r="F200" s="367" t="s">
        <v>1608</v>
      </c>
      <c r="G200" s="277" t="s">
        <v>1522</v>
      </c>
      <c r="H200" s="277" t="s">
        <v>1527</v>
      </c>
      <c r="I200" s="279">
        <f>(5573740.3+226363.79)/1000*$I$5</f>
        <v>5800.1040899999998</v>
      </c>
      <c r="J200" s="279">
        <f t="shared" si="8"/>
        <v>5800.1040899999998</v>
      </c>
      <c r="K200" s="368"/>
      <c r="L200" s="295"/>
      <c r="M200" s="296"/>
    </row>
    <row r="201" spans="1:13" s="281" customFormat="1" ht="192" x14ac:dyDescent="0.2">
      <c r="A201" s="294"/>
      <c r="B201" s="294" t="s">
        <v>2639</v>
      </c>
      <c r="C201" s="366"/>
      <c r="D201" s="367" t="s">
        <v>2050</v>
      </c>
      <c r="E201" s="278" t="s">
        <v>2052</v>
      </c>
      <c r="F201" s="367" t="s">
        <v>2053</v>
      </c>
      <c r="G201" s="277" t="s">
        <v>15</v>
      </c>
      <c r="H201" s="277" t="s">
        <v>1520</v>
      </c>
      <c r="I201" s="279">
        <f>(6369318.04)/1000*$I$5</f>
        <v>6369.3180400000001</v>
      </c>
      <c r="J201" s="279">
        <f>I201-(0)/1000*$I$5</f>
        <v>6369.3180400000001</v>
      </c>
      <c r="K201" s="368" t="s">
        <v>2051</v>
      </c>
      <c r="L201" s="295"/>
      <c r="M201" s="296"/>
    </row>
    <row r="202" spans="1:13" s="281" customFormat="1" ht="54" customHeight="1" x14ac:dyDescent="0.2">
      <c r="A202" s="294"/>
      <c r="B202" s="294" t="s">
        <v>435</v>
      </c>
      <c r="C202" s="366" t="s">
        <v>1616</v>
      </c>
      <c r="D202" s="630" t="s">
        <v>1233</v>
      </c>
      <c r="E202" s="298" t="s">
        <v>1613</v>
      </c>
      <c r="F202" s="299" t="s">
        <v>1611</v>
      </c>
      <c r="G202" s="300" t="s">
        <v>1522</v>
      </c>
      <c r="H202" s="300" t="s">
        <v>1614</v>
      </c>
      <c r="I202" s="301">
        <f>(428672.11)/1000*$I$5</f>
        <v>428.67210999999998</v>
      </c>
      <c r="J202" s="301">
        <f t="shared" si="8"/>
        <v>428.67210999999998</v>
      </c>
      <c r="K202" s="299" t="s">
        <v>1612</v>
      </c>
      <c r="L202" s="295"/>
      <c r="M202" s="296"/>
    </row>
    <row r="203" spans="1:13" s="281" customFormat="1" ht="54" customHeight="1" x14ac:dyDescent="0.2">
      <c r="A203" s="294"/>
      <c r="B203" s="294" t="s">
        <v>2640</v>
      </c>
      <c r="C203" s="632" t="s">
        <v>1707</v>
      </c>
      <c r="D203" s="630"/>
      <c r="E203" s="310" t="s">
        <v>1626</v>
      </c>
      <c r="F203" s="368" t="s">
        <v>1615</v>
      </c>
      <c r="G203" s="294" t="s">
        <v>1554</v>
      </c>
      <c r="H203" s="294" t="s">
        <v>15</v>
      </c>
      <c r="I203" s="311">
        <f>(1350000)/1000*$I$5</f>
        <v>1350</v>
      </c>
      <c r="J203" s="311">
        <f t="shared" si="8"/>
        <v>1350</v>
      </c>
      <c r="K203" s="299" t="s">
        <v>1612</v>
      </c>
      <c r="L203" s="295"/>
      <c r="M203" s="296"/>
    </row>
    <row r="204" spans="1:13" s="281" customFormat="1" ht="54" customHeight="1" x14ac:dyDescent="0.2">
      <c r="A204" s="294"/>
      <c r="B204" s="277" t="s">
        <v>2641</v>
      </c>
      <c r="C204" s="634"/>
      <c r="D204" s="630"/>
      <c r="E204" s="278" t="s">
        <v>1627</v>
      </c>
      <c r="F204" s="367" t="s">
        <v>1628</v>
      </c>
      <c r="G204" s="277" t="s">
        <v>1520</v>
      </c>
      <c r="H204" s="277" t="s">
        <v>1575</v>
      </c>
      <c r="I204" s="279">
        <f>(278107.34)/1000*$I$5</f>
        <v>278.10734000000002</v>
      </c>
      <c r="J204" s="279">
        <f t="shared" si="8"/>
        <v>278.10734000000002</v>
      </c>
      <c r="K204" s="368" t="s">
        <v>1629</v>
      </c>
      <c r="L204" s="295"/>
      <c r="M204" s="296"/>
    </row>
    <row r="205" spans="1:13" s="281" customFormat="1" ht="54" customHeight="1" x14ac:dyDescent="0.2">
      <c r="A205" s="294"/>
      <c r="B205" s="300" t="s">
        <v>437</v>
      </c>
      <c r="C205" s="366" t="s">
        <v>1708</v>
      </c>
      <c r="D205" s="630"/>
      <c r="E205" s="298" t="s">
        <v>1632</v>
      </c>
      <c r="F205" s="299" t="s">
        <v>1630</v>
      </c>
      <c r="G205" s="300" t="s">
        <v>1520</v>
      </c>
      <c r="H205" s="300" t="s">
        <v>1575</v>
      </c>
      <c r="I205" s="301">
        <f>(280018.29)/1000*$I$5</f>
        <v>280.01828999999998</v>
      </c>
      <c r="J205" s="301">
        <f t="shared" si="8"/>
        <v>280.01828999999998</v>
      </c>
      <c r="K205" s="368" t="s">
        <v>1629</v>
      </c>
      <c r="L205" s="295"/>
      <c r="M205" s="296"/>
    </row>
    <row r="206" spans="1:13" s="281" customFormat="1" ht="72" x14ac:dyDescent="0.2">
      <c r="A206" s="294"/>
      <c r="B206" s="300" t="s">
        <v>447</v>
      </c>
      <c r="C206" s="366" t="s">
        <v>1638</v>
      </c>
      <c r="D206" s="630"/>
      <c r="E206" s="310" t="s">
        <v>1637</v>
      </c>
      <c r="F206" s="368" t="s">
        <v>1639</v>
      </c>
      <c r="G206" s="294" t="s">
        <v>1636</v>
      </c>
      <c r="H206" s="294" t="s">
        <v>1527</v>
      </c>
      <c r="I206" s="301">
        <f>(530000)/1000*$I$5</f>
        <v>530</v>
      </c>
      <c r="J206" s="301">
        <f>I206-(0)/1000*$I$5</f>
        <v>530</v>
      </c>
      <c r="K206" s="368" t="s">
        <v>2946</v>
      </c>
      <c r="L206" s="295"/>
      <c r="M206" s="296"/>
    </row>
    <row r="207" spans="1:13" s="281" customFormat="1" ht="54" customHeight="1" x14ac:dyDescent="0.2">
      <c r="A207" s="294"/>
      <c r="B207" s="294" t="s">
        <v>2642</v>
      </c>
      <c r="C207" s="632" t="s">
        <v>1631</v>
      </c>
      <c r="D207" s="630"/>
      <c r="E207" s="298" t="s">
        <v>1634</v>
      </c>
      <c r="F207" s="299" t="s">
        <v>1633</v>
      </c>
      <c r="G207" s="300" t="s">
        <v>1635</v>
      </c>
      <c r="H207" s="300" t="s">
        <v>1636</v>
      </c>
      <c r="I207" s="301">
        <f>(852517.28)/1000*$I$5</f>
        <v>852.51728000000003</v>
      </c>
      <c r="J207" s="301">
        <f t="shared" si="8"/>
        <v>852.51728000000003</v>
      </c>
      <c r="K207" s="368" t="s">
        <v>371</v>
      </c>
      <c r="L207" s="295"/>
      <c r="M207" s="296"/>
    </row>
    <row r="208" spans="1:13" s="281" customFormat="1" ht="178.5" customHeight="1" x14ac:dyDescent="0.2">
      <c r="B208" s="294" t="s">
        <v>2643</v>
      </c>
      <c r="C208" s="633"/>
      <c r="D208" s="367" t="s">
        <v>2054</v>
      </c>
      <c r="E208" s="298" t="s">
        <v>2056</v>
      </c>
      <c r="F208" s="299" t="s">
        <v>2055</v>
      </c>
      <c r="G208" s="300" t="s">
        <v>598</v>
      </c>
      <c r="H208" s="300" t="s">
        <v>1643</v>
      </c>
      <c r="I208" s="301">
        <f>(42819564.42)/1000*$I$5</f>
        <v>42819.564420000002</v>
      </c>
      <c r="J208" s="301">
        <f>I208-(5186673+3973049+376243.4)/1000*$I$5</f>
        <v>33283.599020000001</v>
      </c>
      <c r="K208" s="368" t="s">
        <v>2051</v>
      </c>
      <c r="L208" s="295"/>
      <c r="M208" s="296"/>
    </row>
    <row r="209" spans="1:13" s="281" customFormat="1" ht="63.75" customHeight="1" x14ac:dyDescent="0.2">
      <c r="A209" s="294"/>
      <c r="B209" s="277" t="s">
        <v>450</v>
      </c>
      <c r="C209" s="297" t="s">
        <v>1650</v>
      </c>
      <c r="D209" s="630" t="s">
        <v>1651</v>
      </c>
      <c r="E209" s="310" t="s">
        <v>1652</v>
      </c>
      <c r="F209" s="368" t="s">
        <v>1649</v>
      </c>
      <c r="G209" s="294" t="s">
        <v>1559</v>
      </c>
      <c r="H209" s="294" t="s">
        <v>638</v>
      </c>
      <c r="I209" s="301">
        <f>(1874786+522698)/1000*$I$5</f>
        <v>2397.4839999999999</v>
      </c>
      <c r="J209" s="301">
        <f t="shared" si="8"/>
        <v>2397.4839999999999</v>
      </c>
      <c r="K209" s="368" t="s">
        <v>2947</v>
      </c>
      <c r="L209" s="295"/>
      <c r="M209" s="296"/>
    </row>
    <row r="210" spans="1:13" s="281" customFormat="1" ht="63.75" customHeight="1" x14ac:dyDescent="0.2">
      <c r="A210" s="294"/>
      <c r="B210" s="294" t="s">
        <v>543</v>
      </c>
      <c r="C210" s="366" t="s">
        <v>1660</v>
      </c>
      <c r="D210" s="630"/>
      <c r="E210" s="310" t="s">
        <v>1659</v>
      </c>
      <c r="F210" s="368" t="s">
        <v>1710</v>
      </c>
      <c r="G210" s="294" t="s">
        <v>1603</v>
      </c>
      <c r="H210" s="294" t="s">
        <v>1527</v>
      </c>
      <c r="I210" s="311">
        <f>(1428775.62)/1000*$I$5</f>
        <v>1428.7756200000001</v>
      </c>
      <c r="J210" s="311">
        <f>I210-(0)/1000*$I$5</f>
        <v>1428.7756200000001</v>
      </c>
      <c r="K210" s="368" t="s">
        <v>1661</v>
      </c>
      <c r="L210" s="295"/>
      <c r="M210" s="296"/>
    </row>
    <row r="211" spans="1:13" s="281" customFormat="1" ht="144" x14ac:dyDescent="0.2">
      <c r="A211" s="294"/>
      <c r="B211" s="277" t="s">
        <v>2644</v>
      </c>
      <c r="C211" s="297" t="s">
        <v>1655</v>
      </c>
      <c r="D211" s="630"/>
      <c r="E211" s="310" t="s">
        <v>1653</v>
      </c>
      <c r="F211" s="368" t="s">
        <v>1654</v>
      </c>
      <c r="G211" s="294" t="s">
        <v>872</v>
      </c>
      <c r="H211" s="294" t="s">
        <v>638</v>
      </c>
      <c r="I211" s="311">
        <f>(861586.51)/1000*$I$5</f>
        <v>861.58650999999998</v>
      </c>
      <c r="J211" s="311">
        <f t="shared" si="8"/>
        <v>861.58650999999998</v>
      </c>
      <c r="K211" s="368" t="s">
        <v>2948</v>
      </c>
      <c r="L211" s="295"/>
      <c r="M211" s="296"/>
    </row>
    <row r="212" spans="1:13" s="281" customFormat="1" ht="84" x14ac:dyDescent="0.2">
      <c r="A212" s="294"/>
      <c r="B212" s="277" t="s">
        <v>2645</v>
      </c>
      <c r="C212" s="297"/>
      <c r="D212" s="367"/>
      <c r="E212" s="310" t="s">
        <v>1656</v>
      </c>
      <c r="F212" s="368" t="s">
        <v>2027</v>
      </c>
      <c r="G212" s="294" t="s">
        <v>1526</v>
      </c>
      <c r="H212" s="294" t="s">
        <v>1527</v>
      </c>
      <c r="I212" s="311">
        <f>(1707694.38)/1000*$I$5</f>
        <v>1707.6943799999999</v>
      </c>
      <c r="J212" s="311">
        <f t="shared" si="8"/>
        <v>1707.6943799999999</v>
      </c>
      <c r="K212" s="299" t="s">
        <v>1709</v>
      </c>
      <c r="L212" s="295"/>
      <c r="M212" s="296"/>
    </row>
    <row r="213" spans="1:13" s="281" customFormat="1" ht="72" x14ac:dyDescent="0.2">
      <c r="A213" s="294"/>
      <c r="B213" s="277" t="s">
        <v>2646</v>
      </c>
      <c r="C213" s="297"/>
      <c r="D213" s="367"/>
      <c r="E213" s="310" t="s">
        <v>1657</v>
      </c>
      <c r="F213" s="368" t="s">
        <v>2028</v>
      </c>
      <c r="G213" s="294" t="s">
        <v>1636</v>
      </c>
      <c r="H213" s="294" t="s">
        <v>1527</v>
      </c>
      <c r="I213" s="311">
        <f>(1095766.35)/1000*$I$5</f>
        <v>1095.7663500000001</v>
      </c>
      <c r="J213" s="311">
        <f t="shared" si="8"/>
        <v>1095.7663500000001</v>
      </c>
      <c r="K213" s="368"/>
      <c r="L213" s="295"/>
      <c r="M213" s="296"/>
    </row>
    <row r="214" spans="1:13" s="281" customFormat="1" ht="72" x14ac:dyDescent="0.2">
      <c r="A214" s="294"/>
      <c r="B214" s="277" t="s">
        <v>2647</v>
      </c>
      <c r="C214" s="297"/>
      <c r="D214" s="367"/>
      <c r="E214" s="310" t="s">
        <v>1658</v>
      </c>
      <c r="F214" s="368" t="s">
        <v>2026</v>
      </c>
      <c r="G214" s="294" t="s">
        <v>1636</v>
      </c>
      <c r="H214" s="294" t="s">
        <v>1527</v>
      </c>
      <c r="I214" s="311">
        <f>(1457636.91)/1000*$I$5</f>
        <v>1457.6369099999999</v>
      </c>
      <c r="J214" s="311">
        <f t="shared" si="8"/>
        <v>1457.6369099999999</v>
      </c>
      <c r="K214" s="368" t="s">
        <v>2949</v>
      </c>
      <c r="L214" s="295"/>
      <c r="M214" s="296"/>
    </row>
    <row r="215" spans="1:13" s="281" customFormat="1" ht="174.75" customHeight="1" x14ac:dyDescent="0.2">
      <c r="A215" s="300"/>
      <c r="B215" s="277" t="s">
        <v>2648</v>
      </c>
      <c r="C215" s="366"/>
      <c r="D215" s="367" t="s">
        <v>2025</v>
      </c>
      <c r="E215" s="310" t="s">
        <v>2029</v>
      </c>
      <c r="F215" s="368" t="s">
        <v>2024</v>
      </c>
      <c r="G215" s="294" t="s">
        <v>22</v>
      </c>
      <c r="H215" s="294" t="s">
        <v>638</v>
      </c>
      <c r="I215" s="311">
        <f>(33250583+12019929+3070000)/1000*$I$5</f>
        <v>48340.512000000002</v>
      </c>
      <c r="J215" s="311">
        <f>I215-(105595+2427875+3290720+2728228)/1000*$I$5</f>
        <v>39788.094000000005</v>
      </c>
      <c r="K215" s="368" t="s">
        <v>2950</v>
      </c>
      <c r="L215" s="295"/>
      <c r="M215" s="296"/>
    </row>
    <row r="216" spans="1:13" s="281" customFormat="1" ht="174.75" customHeight="1" x14ac:dyDescent="0.2">
      <c r="A216" s="294"/>
      <c r="B216" s="277" t="s">
        <v>2649</v>
      </c>
      <c r="C216" s="364"/>
      <c r="D216" s="367" t="s">
        <v>2061</v>
      </c>
      <c r="E216" s="310" t="s">
        <v>2062</v>
      </c>
      <c r="F216" s="368" t="s">
        <v>2063</v>
      </c>
      <c r="G216" s="294" t="s">
        <v>598</v>
      </c>
      <c r="H216" s="294" t="s">
        <v>1559</v>
      </c>
      <c r="I216" s="311">
        <f>(2228159)/1000*$I$5</f>
        <v>2228.1590000000001</v>
      </c>
      <c r="J216" s="311">
        <f>I216-(0)/1000*$I$5</f>
        <v>2228.1590000000001</v>
      </c>
      <c r="K216" s="368" t="s">
        <v>2051</v>
      </c>
      <c r="L216" s="295"/>
      <c r="M216" s="296"/>
    </row>
    <row r="217" spans="1:13" ht="39" customHeight="1" x14ac:dyDescent="0.2">
      <c r="A217" s="250" t="s">
        <v>417</v>
      </c>
      <c r="B217" s="294" t="s">
        <v>1255</v>
      </c>
      <c r="C217" s="607" t="s">
        <v>390</v>
      </c>
      <c r="D217" s="611" t="s">
        <v>1245</v>
      </c>
      <c r="E217" s="220"/>
      <c r="F217" s="357"/>
      <c r="G217" s="353"/>
      <c r="H217" s="353"/>
      <c r="I217" s="196"/>
      <c r="J217" s="196"/>
      <c r="K217" s="357"/>
      <c r="L217" s="221"/>
      <c r="M217" s="248"/>
    </row>
    <row r="218" spans="1:13" ht="55.5" customHeight="1" x14ac:dyDescent="0.2">
      <c r="A218" s="56" t="s">
        <v>418</v>
      </c>
      <c r="B218" s="277" t="s">
        <v>678</v>
      </c>
      <c r="C218" s="608"/>
      <c r="D218" s="612"/>
      <c r="E218" s="226" t="s">
        <v>388</v>
      </c>
      <c r="F218" s="358" t="s">
        <v>1236</v>
      </c>
      <c r="G218" s="187" t="s">
        <v>389</v>
      </c>
      <c r="H218" s="187" t="s">
        <v>126</v>
      </c>
      <c r="I218" s="188">
        <f>(46178318)/1000*$I$5</f>
        <v>46178.317999999999</v>
      </c>
      <c r="J218" s="188">
        <f>I218-(1471085+2237239+429854+2062761)/1000*$I$5</f>
        <v>39977.379000000001</v>
      </c>
      <c r="K218" s="358" t="s">
        <v>537</v>
      </c>
      <c r="L218" s="224"/>
      <c r="M218" s="248" t="s">
        <v>388</v>
      </c>
    </row>
    <row r="219" spans="1:13" ht="76.5" customHeight="1" x14ac:dyDescent="0.2">
      <c r="A219" s="56" t="s">
        <v>421</v>
      </c>
      <c r="B219" s="277" t="s">
        <v>679</v>
      </c>
      <c r="C219" s="358" t="s">
        <v>1017</v>
      </c>
      <c r="D219" s="612"/>
      <c r="E219" s="226" t="s">
        <v>401</v>
      </c>
      <c r="F219" s="358" t="s">
        <v>1237</v>
      </c>
      <c r="G219" s="187" t="s">
        <v>177</v>
      </c>
      <c r="H219" s="187" t="s">
        <v>177</v>
      </c>
      <c r="I219" s="188">
        <f>(1750000)/1000*$I$5</f>
        <v>1750</v>
      </c>
      <c r="J219" s="188">
        <f>I219-(0)/1000*$I$5</f>
        <v>1750</v>
      </c>
      <c r="K219" s="359" t="s">
        <v>386</v>
      </c>
      <c r="L219" s="266"/>
      <c r="M219" s="248" t="s">
        <v>401</v>
      </c>
    </row>
    <row r="220" spans="1:13" s="319" customFormat="1" ht="132" x14ac:dyDescent="0.2">
      <c r="A220" s="277" t="s">
        <v>1669</v>
      </c>
      <c r="B220" s="277" t="s">
        <v>2650</v>
      </c>
      <c r="C220" s="297"/>
      <c r="D220" s="367" t="s">
        <v>1680</v>
      </c>
      <c r="E220" s="278" t="s">
        <v>1672</v>
      </c>
      <c r="F220" s="367" t="s">
        <v>1671</v>
      </c>
      <c r="G220" s="302" t="s">
        <v>1554</v>
      </c>
      <c r="H220" s="302" t="s">
        <v>1586</v>
      </c>
      <c r="I220" s="314">
        <f>(3263657)/1000*$I$5</f>
        <v>3263.6570000000002</v>
      </c>
      <c r="J220" s="314">
        <f>I220-(932389.33)/1000*$I$5</f>
        <v>2331.2676700000002</v>
      </c>
      <c r="K220" s="315" t="s">
        <v>2942</v>
      </c>
      <c r="L220" s="317"/>
      <c r="M220" s="318"/>
    </row>
    <row r="221" spans="1:13" ht="108" customHeight="1" x14ac:dyDescent="0.2">
      <c r="A221" s="112" t="s">
        <v>434</v>
      </c>
      <c r="B221" s="300" t="s">
        <v>680</v>
      </c>
      <c r="C221" s="4" t="s">
        <v>1238</v>
      </c>
      <c r="D221" s="612" t="s">
        <v>1670</v>
      </c>
      <c r="E221" s="192" t="s">
        <v>411</v>
      </c>
      <c r="F221" s="66" t="s">
        <v>1278</v>
      </c>
      <c r="G221" s="354" t="s">
        <v>126</v>
      </c>
      <c r="H221" s="354" t="s">
        <v>8</v>
      </c>
      <c r="I221" s="193">
        <f>(900000)/1000*$I$5</f>
        <v>900</v>
      </c>
      <c r="J221" s="193">
        <f>I221-(0)/1000*$I$5</f>
        <v>900</v>
      </c>
      <c r="K221" s="359" t="s">
        <v>405</v>
      </c>
      <c r="L221" s="228"/>
      <c r="M221" s="248" t="s">
        <v>411</v>
      </c>
    </row>
    <row r="222" spans="1:13" ht="50.25" customHeight="1" x14ac:dyDescent="0.2">
      <c r="A222" s="75" t="s">
        <v>1239</v>
      </c>
      <c r="B222" s="300" t="s">
        <v>682</v>
      </c>
      <c r="C222" s="356" t="s">
        <v>406</v>
      </c>
      <c r="D222" s="612"/>
      <c r="E222" s="192" t="s">
        <v>412</v>
      </c>
      <c r="F222" s="66" t="s">
        <v>1240</v>
      </c>
      <c r="G222" s="77" t="s">
        <v>410</v>
      </c>
      <c r="H222" s="77" t="s">
        <v>410</v>
      </c>
      <c r="I222" s="193">
        <f>(840000)/1000*$I$5</f>
        <v>840</v>
      </c>
      <c r="J222" s="193">
        <f t="shared" ref="J222:J228" si="9">I222-(0)/1000*$I$5</f>
        <v>840</v>
      </c>
      <c r="K222" s="66" t="s">
        <v>409</v>
      </c>
      <c r="L222" s="78"/>
      <c r="M222" s="60" t="s">
        <v>412</v>
      </c>
    </row>
    <row r="223" spans="1:13" ht="48" x14ac:dyDescent="0.2">
      <c r="A223" s="75" t="s">
        <v>435</v>
      </c>
      <c r="B223" s="300" t="s">
        <v>683</v>
      </c>
      <c r="C223" s="355" t="s">
        <v>413</v>
      </c>
      <c r="D223" s="612"/>
      <c r="E223" s="192" t="s">
        <v>425</v>
      </c>
      <c r="F223" s="66" t="s">
        <v>1241</v>
      </c>
      <c r="G223" s="77" t="s">
        <v>12</v>
      </c>
      <c r="H223" s="77" t="s">
        <v>52</v>
      </c>
      <c r="I223" s="193">
        <f>(1150000)/1000*$I$5</f>
        <v>1150</v>
      </c>
      <c r="J223" s="193">
        <f t="shared" si="9"/>
        <v>1150</v>
      </c>
      <c r="K223" s="66" t="s">
        <v>414</v>
      </c>
      <c r="L223" s="78"/>
      <c r="M223" s="60" t="s">
        <v>425</v>
      </c>
    </row>
    <row r="224" spans="1:13" ht="48" x14ac:dyDescent="0.2">
      <c r="A224" s="56" t="s">
        <v>436</v>
      </c>
      <c r="B224" s="277" t="s">
        <v>2651</v>
      </c>
      <c r="C224" s="355" t="s">
        <v>1664</v>
      </c>
      <c r="D224" s="612"/>
      <c r="E224" s="226" t="s">
        <v>424</v>
      </c>
      <c r="F224" s="358" t="s">
        <v>1243</v>
      </c>
      <c r="G224" s="187" t="s">
        <v>12</v>
      </c>
      <c r="H224" s="187" t="s">
        <v>52</v>
      </c>
      <c r="I224" s="188">
        <f>(1291000)/1000*$I$5</f>
        <v>1291</v>
      </c>
      <c r="J224" s="188">
        <f t="shared" si="9"/>
        <v>1291</v>
      </c>
      <c r="K224" s="358" t="s">
        <v>422</v>
      </c>
      <c r="L224" s="224"/>
      <c r="M224" s="60" t="s">
        <v>424</v>
      </c>
    </row>
    <row r="225" spans="1:13" ht="54" customHeight="1" x14ac:dyDescent="0.2">
      <c r="A225" s="75" t="s">
        <v>437</v>
      </c>
      <c r="B225" s="277" t="s">
        <v>2652</v>
      </c>
      <c r="C225" s="355" t="s">
        <v>1665</v>
      </c>
      <c r="D225" s="613"/>
      <c r="E225" s="267" t="s">
        <v>423</v>
      </c>
      <c r="F225" s="359" t="s">
        <v>1244</v>
      </c>
      <c r="G225" s="354" t="s">
        <v>49</v>
      </c>
      <c r="H225" s="354" t="s">
        <v>52</v>
      </c>
      <c r="I225" s="193">
        <f>(1227945)/1000*$I$5</f>
        <v>1227.9449999999999</v>
      </c>
      <c r="J225" s="193">
        <f t="shared" si="9"/>
        <v>1227.9449999999999</v>
      </c>
      <c r="K225" s="359" t="s">
        <v>422</v>
      </c>
      <c r="L225" s="266"/>
      <c r="M225" s="60" t="s">
        <v>423</v>
      </c>
    </row>
    <row r="226" spans="1:13" s="281" customFormat="1" ht="114.75" customHeight="1" x14ac:dyDescent="0.2">
      <c r="A226" s="302" t="s">
        <v>1673</v>
      </c>
      <c r="B226" s="277" t="s">
        <v>2653</v>
      </c>
      <c r="C226" s="367" t="s">
        <v>1664</v>
      </c>
      <c r="D226" s="367" t="s">
        <v>1246</v>
      </c>
      <c r="E226" s="278" t="s">
        <v>1662</v>
      </c>
      <c r="F226" s="367" t="s">
        <v>1663</v>
      </c>
      <c r="G226" s="302" t="s">
        <v>21</v>
      </c>
      <c r="H226" s="302" t="s">
        <v>1666</v>
      </c>
      <c r="I226" s="314">
        <f>(7484770)/1000*$I$5</f>
        <v>7484.77</v>
      </c>
      <c r="J226" s="314">
        <f>I226-(2554000+832640)/1000*$I$5</f>
        <v>4098.130000000001</v>
      </c>
      <c r="K226" s="315"/>
      <c r="L226" s="316"/>
    </row>
    <row r="227" spans="1:13" s="281" customFormat="1" ht="113.25" customHeight="1" x14ac:dyDescent="0.2">
      <c r="A227" s="302" t="s">
        <v>1674</v>
      </c>
      <c r="B227" s="302" t="s">
        <v>2654</v>
      </c>
      <c r="C227" s="367"/>
      <c r="D227" s="367" t="s">
        <v>1680</v>
      </c>
      <c r="E227" s="278" t="s">
        <v>1668</v>
      </c>
      <c r="F227" s="367" t="s">
        <v>1667</v>
      </c>
      <c r="G227" s="302" t="s">
        <v>1554</v>
      </c>
      <c r="H227" s="302" t="s">
        <v>638</v>
      </c>
      <c r="I227" s="314">
        <f>(17489503.24+1753630.42+5107274.05)/1000*$I$5</f>
        <v>24350.407709999996</v>
      </c>
      <c r="J227" s="314">
        <f>I227-(3343312+3670183.03+76931+836694.29+1273822.91+121348.95)/1000*$I$5</f>
        <v>15028.115529999997</v>
      </c>
      <c r="K227" s="315"/>
      <c r="L227" s="316"/>
    </row>
    <row r="228" spans="1:13" ht="117" customHeight="1" x14ac:dyDescent="0.2">
      <c r="A228" s="75" t="s">
        <v>447</v>
      </c>
      <c r="B228" s="277" t="s">
        <v>2655</v>
      </c>
      <c r="C228" s="607" t="s">
        <v>1675</v>
      </c>
      <c r="D228" s="320" t="s">
        <v>1246</v>
      </c>
      <c r="E228" s="267" t="s">
        <v>429</v>
      </c>
      <c r="F228" s="359" t="s">
        <v>1279</v>
      </c>
      <c r="G228" s="77" t="s">
        <v>427</v>
      </c>
      <c r="H228" s="77" t="s">
        <v>5</v>
      </c>
      <c r="I228" s="193">
        <f>(550000)/1000*$I$5</f>
        <v>550</v>
      </c>
      <c r="J228" s="193">
        <f t="shared" si="9"/>
        <v>550</v>
      </c>
      <c r="K228" s="66" t="s">
        <v>428</v>
      </c>
      <c r="L228" s="78"/>
      <c r="M228" s="60" t="s">
        <v>429</v>
      </c>
    </row>
    <row r="229" spans="1:13" s="281" customFormat="1" ht="114" customHeight="1" x14ac:dyDescent="0.2">
      <c r="A229" s="302"/>
      <c r="B229" s="277" t="s">
        <v>2656</v>
      </c>
      <c r="C229" s="628"/>
      <c r="D229" s="367" t="s">
        <v>1680</v>
      </c>
      <c r="E229" s="278" t="s">
        <v>1676</v>
      </c>
      <c r="F229" s="367" t="s">
        <v>1678</v>
      </c>
      <c r="G229" s="294" t="s">
        <v>1677</v>
      </c>
      <c r="H229" s="294" t="s">
        <v>1603</v>
      </c>
      <c r="I229" s="279">
        <f>(2242627.97+94150.82)/1000*$I$5</f>
        <v>2336.7787899999998</v>
      </c>
      <c r="J229" s="314">
        <f>I229-(0)/1000*$I$5</f>
        <v>2336.7787899999998</v>
      </c>
      <c r="K229" s="299" t="s">
        <v>1679</v>
      </c>
      <c r="L229" s="303"/>
    </row>
    <row r="230" spans="1:13" s="281" customFormat="1" ht="114" customHeight="1" x14ac:dyDescent="0.2">
      <c r="A230" s="302"/>
      <c r="B230" s="300" t="s">
        <v>688</v>
      </c>
      <c r="C230" s="364" t="s">
        <v>1682</v>
      </c>
      <c r="D230" s="367"/>
      <c r="E230" s="278" t="s">
        <v>1686</v>
      </c>
      <c r="F230" s="367" t="s">
        <v>1681</v>
      </c>
      <c r="G230" s="294" t="s">
        <v>1677</v>
      </c>
      <c r="H230" s="321" t="s">
        <v>1683</v>
      </c>
      <c r="I230" s="279">
        <f>(1767380.7+3320269.43)/1000*$I$5</f>
        <v>5087.65013</v>
      </c>
      <c r="J230" s="314">
        <f>I230-(800000+67796.61)/1000*$I$5</f>
        <v>4219.8535199999997</v>
      </c>
      <c r="K230" s="299" t="s">
        <v>2657</v>
      </c>
      <c r="L230" s="303"/>
    </row>
    <row r="231" spans="1:13" s="281" customFormat="1" ht="145.5" customHeight="1" x14ac:dyDescent="0.2">
      <c r="A231" s="302"/>
      <c r="B231" s="300" t="s">
        <v>689</v>
      </c>
      <c r="C231" s="364" t="s">
        <v>1685</v>
      </c>
      <c r="D231" s="367"/>
      <c r="E231" s="278" t="s">
        <v>1687</v>
      </c>
      <c r="F231" s="367" t="s">
        <v>1684</v>
      </c>
      <c r="G231" s="294" t="s">
        <v>872</v>
      </c>
      <c r="H231" s="321" t="s">
        <v>1643</v>
      </c>
      <c r="I231" s="279">
        <f>(482118.81+369191.02)/1000*$I$5</f>
        <v>851.30983000000003</v>
      </c>
      <c r="J231" s="314">
        <f>I231-(220506.83)/1000*$I$5</f>
        <v>630.80300000000011</v>
      </c>
      <c r="K231" s="299" t="s">
        <v>2658</v>
      </c>
      <c r="L231" s="303"/>
    </row>
    <row r="232" spans="1:13" s="281" customFormat="1" ht="120" x14ac:dyDescent="0.2">
      <c r="A232" s="302"/>
      <c r="B232" s="300" t="s">
        <v>690</v>
      </c>
      <c r="C232" s="364" t="s">
        <v>1688</v>
      </c>
      <c r="D232" s="367"/>
      <c r="E232" s="278" t="s">
        <v>1693</v>
      </c>
      <c r="F232" s="367" t="s">
        <v>1711</v>
      </c>
      <c r="G232" s="294" t="s">
        <v>872</v>
      </c>
      <c r="H232" s="321" t="s">
        <v>1692</v>
      </c>
      <c r="I232" s="279">
        <f>(3900000)/1000*$I$5</f>
        <v>3900</v>
      </c>
      <c r="J232" s="314">
        <f>I232-(59000+508474.58)/1000*$I$5</f>
        <v>3332.5254199999999</v>
      </c>
      <c r="K232" s="299" t="s">
        <v>1712</v>
      </c>
      <c r="L232" s="303"/>
    </row>
    <row r="233" spans="1:13" s="281" customFormat="1" ht="96" x14ac:dyDescent="0.2">
      <c r="A233" s="302"/>
      <c r="B233" s="300" t="s">
        <v>691</v>
      </c>
      <c r="C233" s="364" t="s">
        <v>1699</v>
      </c>
      <c r="D233" s="367"/>
      <c r="E233" s="278" t="s">
        <v>1700</v>
      </c>
      <c r="F233" s="367" t="s">
        <v>1698</v>
      </c>
      <c r="G233" s="294" t="s">
        <v>1579</v>
      </c>
      <c r="H233" s="321" t="s">
        <v>1701</v>
      </c>
      <c r="I233" s="279">
        <f>(6964214.86)/1000*$I$5</f>
        <v>6964.21486</v>
      </c>
      <c r="J233" s="314">
        <f>I233-(850000+59322.03)/1000*$I$5</f>
        <v>6054.8928299999998</v>
      </c>
      <c r="K233" s="299" t="s">
        <v>1724</v>
      </c>
      <c r="L233" s="303"/>
    </row>
    <row r="234" spans="1:13" s="281" customFormat="1" ht="120" x14ac:dyDescent="0.2">
      <c r="A234" s="302"/>
      <c r="B234" s="277" t="s">
        <v>2659</v>
      </c>
      <c r="C234" s="632" t="s">
        <v>1726</v>
      </c>
      <c r="D234" s="367"/>
      <c r="E234" s="278" t="s">
        <v>1722</v>
      </c>
      <c r="F234" s="367" t="s">
        <v>1723</v>
      </c>
      <c r="G234" s="294" t="s">
        <v>1677</v>
      </c>
      <c r="H234" s="321" t="s">
        <v>1727</v>
      </c>
      <c r="I234" s="279">
        <f>(7800000)/1000*$I$5</f>
        <v>7800</v>
      </c>
      <c r="J234" s="314">
        <f>I234-(520000)/1000*$I$5</f>
        <v>7280</v>
      </c>
      <c r="K234" s="299" t="s">
        <v>1725</v>
      </c>
      <c r="L234" s="303"/>
    </row>
    <row r="235" spans="1:13" s="281" customFormat="1" ht="96" x14ac:dyDescent="0.2">
      <c r="A235" s="302"/>
      <c r="B235" s="277" t="s">
        <v>2660</v>
      </c>
      <c r="C235" s="633"/>
      <c r="D235" s="367" t="s">
        <v>2214</v>
      </c>
      <c r="E235" s="278" t="s">
        <v>2215</v>
      </c>
      <c r="F235" s="367" t="s">
        <v>2216</v>
      </c>
      <c r="G235" s="294" t="s">
        <v>15</v>
      </c>
      <c r="H235" s="321" t="s">
        <v>598</v>
      </c>
      <c r="I235" s="279">
        <f>(875464)/1000*$I$5</f>
        <v>875.46400000000006</v>
      </c>
      <c r="J235" s="314">
        <f>I235-(0)/1000*$I$5</f>
        <v>875.46400000000006</v>
      </c>
      <c r="K235" s="299" t="s">
        <v>2217</v>
      </c>
      <c r="L235" s="303"/>
    </row>
    <row r="236" spans="1:13" s="281" customFormat="1" ht="192" x14ac:dyDescent="0.2">
      <c r="A236" s="302"/>
      <c r="B236" s="294" t="s">
        <v>694</v>
      </c>
      <c r="C236" s="632" t="s">
        <v>2071</v>
      </c>
      <c r="D236" s="367" t="s">
        <v>2070</v>
      </c>
      <c r="E236" s="278" t="s">
        <v>2072</v>
      </c>
      <c r="F236" s="367" t="s">
        <v>2073</v>
      </c>
      <c r="G236" s="294" t="s">
        <v>1526</v>
      </c>
      <c r="H236" s="321" t="s">
        <v>1527</v>
      </c>
      <c r="I236" s="279">
        <f>(3500000)/1000*$I$5</f>
        <v>3500</v>
      </c>
      <c r="J236" s="314">
        <f>I236-(0)/1000*$I$5</f>
        <v>3500</v>
      </c>
      <c r="K236" s="299" t="s">
        <v>2073</v>
      </c>
      <c r="L236" s="303"/>
    </row>
    <row r="237" spans="1:13" s="281" customFormat="1" ht="180" x14ac:dyDescent="0.2">
      <c r="A237" s="302"/>
      <c r="B237" s="277" t="s">
        <v>695</v>
      </c>
      <c r="C237" s="633"/>
      <c r="D237" s="367" t="s">
        <v>2458</v>
      </c>
      <c r="E237" s="278" t="s">
        <v>2457</v>
      </c>
      <c r="F237" s="367" t="s">
        <v>2455</v>
      </c>
      <c r="G237" s="294" t="s">
        <v>1869</v>
      </c>
      <c r="H237" s="321" t="s">
        <v>1614</v>
      </c>
      <c r="I237" s="279">
        <f>(154156)/1000*$I$5</f>
        <v>154.15600000000001</v>
      </c>
      <c r="J237" s="314">
        <f>I237-(0)/1000*$I$5</f>
        <v>154.15600000000001</v>
      </c>
      <c r="K237" s="299" t="s">
        <v>2456</v>
      </c>
      <c r="L237" s="303"/>
    </row>
    <row r="238" spans="1:13" ht="150" customHeight="1" x14ac:dyDescent="0.2">
      <c r="A238" s="75" t="s">
        <v>450</v>
      </c>
      <c r="B238" s="300" t="s">
        <v>696</v>
      </c>
      <c r="C238" s="66" t="s">
        <v>1248</v>
      </c>
      <c r="D238" s="611" t="s">
        <v>1247</v>
      </c>
      <c r="E238" s="220" t="s">
        <v>994</v>
      </c>
      <c r="F238" s="357" t="s">
        <v>1249</v>
      </c>
      <c r="G238" s="353" t="s">
        <v>14</v>
      </c>
      <c r="H238" s="353" t="s">
        <v>11</v>
      </c>
      <c r="I238" s="188">
        <f>(390000000)/1000*$I$5</f>
        <v>390000</v>
      </c>
      <c r="J238" s="193">
        <f>I238-(10473000+2569000+38773249+1655506+4134020+386559+17036387+15325570+15342207+3454876+1477757+74199+980000)/1000*$I$5</f>
        <v>278317.67</v>
      </c>
      <c r="K238" s="197" t="s">
        <v>805</v>
      </c>
      <c r="L238" s="268"/>
      <c r="M238" s="60" t="s">
        <v>994</v>
      </c>
    </row>
    <row r="239" spans="1:13" ht="72" x14ac:dyDescent="0.2">
      <c r="A239" s="75" t="s">
        <v>543</v>
      </c>
      <c r="B239" s="277" t="s">
        <v>697</v>
      </c>
      <c r="C239" s="355" t="s">
        <v>1250</v>
      </c>
      <c r="D239" s="613"/>
      <c r="E239" s="192" t="s">
        <v>995</v>
      </c>
      <c r="F239" s="66" t="s">
        <v>1251</v>
      </c>
      <c r="G239" s="77" t="s">
        <v>84</v>
      </c>
      <c r="H239" s="77" t="s">
        <v>7</v>
      </c>
      <c r="I239" s="195">
        <f>(13244584)/1000*$I$5</f>
        <v>13244.584000000001</v>
      </c>
      <c r="J239" s="193">
        <f>I239-(3944931+1927740)/1000*$I$5</f>
        <v>7371.9130000000005</v>
      </c>
      <c r="K239" s="66" t="s">
        <v>430</v>
      </c>
      <c r="L239" s="78"/>
    </row>
    <row r="240" spans="1:13" s="281" customFormat="1" ht="336" x14ac:dyDescent="0.2">
      <c r="A240" s="302"/>
      <c r="B240" s="277" t="s">
        <v>698</v>
      </c>
      <c r="C240" s="364" t="s">
        <v>1714</v>
      </c>
      <c r="D240" s="315"/>
      <c r="E240" s="298" t="s">
        <v>1715</v>
      </c>
      <c r="F240" s="299" t="s">
        <v>1713</v>
      </c>
      <c r="G240" s="300" t="s">
        <v>1614</v>
      </c>
      <c r="H240" s="309" t="s">
        <v>1716</v>
      </c>
      <c r="I240" s="314">
        <f>(12800000)/1000*$I$5</f>
        <v>12800</v>
      </c>
      <c r="J240" s="314">
        <f>I240-(0)/1000*$I$5</f>
        <v>12800</v>
      </c>
      <c r="K240" s="299"/>
      <c r="L240" s="303"/>
    </row>
    <row r="241" spans="1:13" ht="108" x14ac:dyDescent="0.2">
      <c r="A241" s="75" t="s">
        <v>552</v>
      </c>
      <c r="B241" s="277" t="s">
        <v>700</v>
      </c>
      <c r="C241" s="355" t="s">
        <v>1252</v>
      </c>
      <c r="D241" s="131" t="s">
        <v>1257</v>
      </c>
      <c r="E241" s="183" t="s">
        <v>1254</v>
      </c>
      <c r="F241" s="131" t="s">
        <v>1253</v>
      </c>
      <c r="G241" s="77" t="s">
        <v>84</v>
      </c>
      <c r="H241" s="77" t="s">
        <v>84</v>
      </c>
      <c r="I241" s="193">
        <f>(500000)/1000*$I$5</f>
        <v>500</v>
      </c>
      <c r="J241" s="193">
        <f>I241-(0)/1000*$I$5</f>
        <v>500</v>
      </c>
      <c r="K241" s="66" t="s">
        <v>431</v>
      </c>
      <c r="L241" s="78"/>
    </row>
    <row r="242" spans="1:13" s="281" customFormat="1" ht="108" x14ac:dyDescent="0.2">
      <c r="A242" s="302"/>
      <c r="B242" s="300" t="s">
        <v>704</v>
      </c>
      <c r="C242" s="364" t="s">
        <v>1717</v>
      </c>
      <c r="D242" s="299" t="s">
        <v>433</v>
      </c>
      <c r="E242" s="298" t="s">
        <v>1718</v>
      </c>
      <c r="F242" s="299" t="s">
        <v>1719</v>
      </c>
      <c r="G242" s="300" t="s">
        <v>1721</v>
      </c>
      <c r="H242" s="300" t="s">
        <v>613</v>
      </c>
      <c r="I242" s="314">
        <f>(850000)/1000*$I$5</f>
        <v>850</v>
      </c>
      <c r="J242" s="314">
        <f>I242-(0)/1000*$I$5</f>
        <v>850</v>
      </c>
      <c r="K242" s="299" t="s">
        <v>1720</v>
      </c>
      <c r="L242" s="303"/>
    </row>
    <row r="243" spans="1:13" ht="153.75" customHeight="1" x14ac:dyDescent="0.2">
      <c r="A243" s="75" t="s">
        <v>1255</v>
      </c>
      <c r="B243" s="277" t="s">
        <v>705</v>
      </c>
      <c r="C243" s="355" t="s">
        <v>765</v>
      </c>
      <c r="D243" s="131" t="s">
        <v>1256</v>
      </c>
      <c r="E243" s="183" t="s">
        <v>587</v>
      </c>
      <c r="F243" s="131" t="s">
        <v>1258</v>
      </c>
      <c r="G243" s="77" t="s">
        <v>14</v>
      </c>
      <c r="H243" s="77" t="s">
        <v>586</v>
      </c>
      <c r="I243" s="193">
        <f>(119096424)/1000*$I$5</f>
        <v>119096.424</v>
      </c>
      <c r="J243" s="193">
        <f>I243-(4720342+9389674+2380253+20611493+1300885+1430964+661059)/1000*$I$5</f>
        <v>78601.754000000001</v>
      </c>
      <c r="K243" s="66" t="s">
        <v>585</v>
      </c>
      <c r="L243" s="78"/>
      <c r="M243" s="60" t="s">
        <v>587</v>
      </c>
    </row>
    <row r="244" spans="1:13" ht="172.5" customHeight="1" x14ac:dyDescent="0.2">
      <c r="A244" s="75" t="s">
        <v>680</v>
      </c>
      <c r="B244" s="300" t="s">
        <v>706</v>
      </c>
      <c r="C244" s="355" t="s">
        <v>625</v>
      </c>
      <c r="D244" s="131" t="s">
        <v>1259</v>
      </c>
      <c r="E244" s="183" t="s">
        <v>626</v>
      </c>
      <c r="F244" s="131" t="s">
        <v>1260</v>
      </c>
      <c r="G244" s="77" t="s">
        <v>95</v>
      </c>
      <c r="H244" s="77" t="s">
        <v>11</v>
      </c>
      <c r="I244" s="193">
        <f>(19671702+1204838+5361278)/1000*$I$5</f>
        <v>26237.817999999999</v>
      </c>
      <c r="J244" s="193">
        <f>I244-(1399023+56345+1515335)/1000*$I$5</f>
        <v>23267.114999999998</v>
      </c>
      <c r="K244" s="66" t="s">
        <v>627</v>
      </c>
      <c r="L244" s="78"/>
      <c r="M244" s="60" t="s">
        <v>626</v>
      </c>
    </row>
    <row r="245" spans="1:13" ht="37.5" customHeight="1" x14ac:dyDescent="0.2">
      <c r="A245" s="250" t="s">
        <v>682</v>
      </c>
      <c r="B245" s="294" t="s">
        <v>721</v>
      </c>
      <c r="C245" s="607" t="s">
        <v>2030</v>
      </c>
      <c r="D245" s="582" t="s">
        <v>1261</v>
      </c>
      <c r="E245" s="182"/>
      <c r="F245" s="350"/>
      <c r="G245" s="353"/>
      <c r="H245" s="353"/>
      <c r="I245" s="196">
        <f>(0)/1000*$I$5</f>
        <v>0</v>
      </c>
      <c r="J245" s="196">
        <f>I245-(0)/1000*$I$5</f>
        <v>0</v>
      </c>
      <c r="K245" s="357"/>
      <c r="L245" s="221"/>
    </row>
    <row r="246" spans="1:13" ht="36" x14ac:dyDescent="0.2">
      <c r="A246" s="56" t="s">
        <v>1262</v>
      </c>
      <c r="B246" s="277" t="s">
        <v>722</v>
      </c>
      <c r="C246" s="608"/>
      <c r="D246" s="583"/>
      <c r="E246" s="176" t="s">
        <v>441</v>
      </c>
      <c r="F246" s="356" t="s">
        <v>1263</v>
      </c>
      <c r="G246" s="187" t="s">
        <v>439</v>
      </c>
      <c r="H246" s="187" t="s">
        <v>126</v>
      </c>
      <c r="I246" s="188">
        <f>(7168312)/1000*$I$5</f>
        <v>7168.3119999999999</v>
      </c>
      <c r="J246" s="188">
        <f>I246-(803199)/1000*$I$5</f>
        <v>6365.1130000000003</v>
      </c>
      <c r="K246" s="358" t="s">
        <v>438</v>
      </c>
      <c r="L246" s="224"/>
      <c r="M246" s="60" t="s">
        <v>441</v>
      </c>
    </row>
    <row r="247" spans="1:13" ht="42.75" customHeight="1" x14ac:dyDescent="0.2">
      <c r="A247" s="56" t="s">
        <v>1265</v>
      </c>
      <c r="B247" s="277" t="s">
        <v>723</v>
      </c>
      <c r="C247" s="608"/>
      <c r="D247" s="583"/>
      <c r="E247" s="176" t="s">
        <v>442</v>
      </c>
      <c r="F247" s="351" t="s">
        <v>1264</v>
      </c>
      <c r="G247" s="187" t="s">
        <v>119</v>
      </c>
      <c r="H247" s="187" t="s">
        <v>295</v>
      </c>
      <c r="I247" s="188">
        <f>(14067218)/1000*$I$5</f>
        <v>14067.218000000001</v>
      </c>
      <c r="J247" s="188">
        <f>I247-(0)/1000*$I$5</f>
        <v>14067.218000000001</v>
      </c>
      <c r="K247" s="194" t="s">
        <v>446</v>
      </c>
      <c r="L247" s="224"/>
      <c r="M247" s="60" t="s">
        <v>442</v>
      </c>
    </row>
    <row r="248" spans="1:13" ht="48" x14ac:dyDescent="0.2">
      <c r="A248" s="56" t="s">
        <v>1266</v>
      </c>
      <c r="B248" s="277" t="s">
        <v>724</v>
      </c>
      <c r="C248" s="628"/>
      <c r="D248" s="583"/>
      <c r="E248" s="176" t="s">
        <v>440</v>
      </c>
      <c r="F248" s="351" t="s">
        <v>1268</v>
      </c>
      <c r="G248" s="187" t="s">
        <v>8</v>
      </c>
      <c r="H248" s="187" t="s">
        <v>56</v>
      </c>
      <c r="I248" s="188">
        <f>(24083149)/1000*$I$5</f>
        <v>24083.149000000001</v>
      </c>
      <c r="J248" s="188">
        <f>I248-(0)/1000*$I$5</f>
        <v>24083.149000000001</v>
      </c>
      <c r="K248" s="358" t="s">
        <v>445</v>
      </c>
      <c r="L248" s="224"/>
      <c r="M248" s="60" t="s">
        <v>440</v>
      </c>
    </row>
    <row r="249" spans="1:13" ht="36" x14ac:dyDescent="0.2">
      <c r="A249" s="112" t="s">
        <v>683</v>
      </c>
      <c r="B249" s="300" t="s">
        <v>2661</v>
      </c>
      <c r="C249" s="4" t="s">
        <v>2031</v>
      </c>
      <c r="D249" s="584"/>
      <c r="E249" s="181" t="s">
        <v>448</v>
      </c>
      <c r="F249" s="352" t="s">
        <v>1269</v>
      </c>
      <c r="G249" s="77" t="s">
        <v>177</v>
      </c>
      <c r="H249" s="77" t="s">
        <v>48</v>
      </c>
      <c r="I249" s="195">
        <f>(24894319)/1000*$I$5</f>
        <v>24894.319</v>
      </c>
      <c r="J249" s="195">
        <f>I249-(1597047)/1000*$I$5</f>
        <v>23297.272000000001</v>
      </c>
      <c r="K249" s="66" t="s">
        <v>449</v>
      </c>
      <c r="L249" s="78"/>
      <c r="M249" s="60" t="s">
        <v>448</v>
      </c>
    </row>
    <row r="250" spans="1:13" ht="112.5" customHeight="1" x14ac:dyDescent="0.2">
      <c r="A250" s="75" t="s">
        <v>684</v>
      </c>
      <c r="B250" s="277" t="s">
        <v>2662</v>
      </c>
      <c r="C250" s="607" t="s">
        <v>2031</v>
      </c>
      <c r="D250" s="352" t="s">
        <v>1270</v>
      </c>
      <c r="E250" s="181" t="s">
        <v>1000</v>
      </c>
      <c r="F250" s="352" t="s">
        <v>1280</v>
      </c>
      <c r="G250" s="77" t="s">
        <v>124</v>
      </c>
      <c r="H250" s="77" t="s">
        <v>54</v>
      </c>
      <c r="I250" s="193">
        <f>(1490000)/1000*$I$5</f>
        <v>1490</v>
      </c>
      <c r="J250" s="193">
        <f>I250-(0)/1000*$I$5</f>
        <v>1490</v>
      </c>
      <c r="K250" s="66" t="s">
        <v>556</v>
      </c>
      <c r="L250" s="78"/>
    </row>
    <row r="251" spans="1:13" ht="180" x14ac:dyDescent="0.2">
      <c r="A251" s="302"/>
      <c r="B251" s="277" t="s">
        <v>2663</v>
      </c>
      <c r="C251" s="608"/>
      <c r="D251" s="367" t="s">
        <v>2025</v>
      </c>
      <c r="E251" s="278" t="s">
        <v>2034</v>
      </c>
      <c r="F251" s="367" t="s">
        <v>2033</v>
      </c>
      <c r="G251" s="294" t="s">
        <v>18</v>
      </c>
      <c r="H251" s="321" t="s">
        <v>1875</v>
      </c>
      <c r="I251" s="193">
        <f>(64955565.13+11510416+3259543)/1000*$I$5</f>
        <v>79725.524129999991</v>
      </c>
      <c r="J251" s="193">
        <f>I251-(16105221+1580499+719396+442019+2856631)/1000*$I$5</f>
        <v>58021.758129999987</v>
      </c>
      <c r="K251" s="299" t="s">
        <v>2032</v>
      </c>
      <c r="L251" s="78"/>
    </row>
    <row r="252" spans="1:13" s="281" customFormat="1" ht="112.5" customHeight="1" x14ac:dyDescent="0.2">
      <c r="A252" s="302"/>
      <c r="B252" s="277" t="s">
        <v>2664</v>
      </c>
      <c r="C252" s="628"/>
      <c r="D252" s="367" t="s">
        <v>1680</v>
      </c>
      <c r="E252" s="278" t="s">
        <v>1694</v>
      </c>
      <c r="F252" s="367" t="s">
        <v>1696</v>
      </c>
      <c r="G252" s="294" t="s">
        <v>1586</v>
      </c>
      <c r="H252" s="321" t="s">
        <v>1697</v>
      </c>
      <c r="I252" s="279">
        <f>(7819558.01)/1000*$I$5</f>
        <v>7819.5580099999997</v>
      </c>
      <c r="J252" s="279">
        <f>I252-(0)/1000*$I$5</f>
        <v>7819.5580099999997</v>
      </c>
      <c r="K252" s="299" t="s">
        <v>1695</v>
      </c>
      <c r="L252" s="303"/>
    </row>
    <row r="253" spans="1:13" s="281" customFormat="1" ht="168" customHeight="1" x14ac:dyDescent="0.2">
      <c r="A253" s="302"/>
      <c r="B253" s="300" t="s">
        <v>752</v>
      </c>
      <c r="C253" s="364" t="s">
        <v>2064</v>
      </c>
      <c r="D253" s="367" t="s">
        <v>2954</v>
      </c>
      <c r="E253" s="278" t="s">
        <v>2065</v>
      </c>
      <c r="F253" s="367" t="s">
        <v>2066</v>
      </c>
      <c r="G253" s="294" t="s">
        <v>872</v>
      </c>
      <c r="H253" s="321" t="s">
        <v>1526</v>
      </c>
      <c r="I253" s="279">
        <f>(2893398)/1000*$I$5</f>
        <v>2893.3980000000001</v>
      </c>
      <c r="J253" s="279">
        <f>I253-(0)/1000*$I$5</f>
        <v>2893.3980000000001</v>
      </c>
      <c r="K253" s="299"/>
      <c r="L253" s="303"/>
    </row>
    <row r="254" spans="1:13" s="281" customFormat="1" ht="180" x14ac:dyDescent="0.2">
      <c r="A254" s="302"/>
      <c r="B254" s="277" t="s">
        <v>2665</v>
      </c>
      <c r="C254" s="632" t="s">
        <v>2035</v>
      </c>
      <c r="D254" s="367" t="s">
        <v>2025</v>
      </c>
      <c r="E254" s="278" t="s">
        <v>2038</v>
      </c>
      <c r="F254" s="367" t="s">
        <v>2036</v>
      </c>
      <c r="G254" s="294" t="s">
        <v>2039</v>
      </c>
      <c r="H254" s="321" t="s">
        <v>1614</v>
      </c>
      <c r="I254" s="196">
        <f>(39146588.3+30418798.71+4517178)/1000*$I$5</f>
        <v>74082.565009999991</v>
      </c>
      <c r="J254" s="196">
        <f>I254-(0)/1000*$I$5</f>
        <v>74082.565009999991</v>
      </c>
      <c r="K254" s="299" t="s">
        <v>2037</v>
      </c>
      <c r="L254" s="303"/>
    </row>
    <row r="255" spans="1:13" s="281" customFormat="1" ht="204" customHeight="1" x14ac:dyDescent="0.2">
      <c r="A255" s="302"/>
      <c r="B255" s="277" t="s">
        <v>2666</v>
      </c>
      <c r="C255" s="634"/>
      <c r="D255" s="367" t="s">
        <v>2043</v>
      </c>
      <c r="E255" s="278" t="s">
        <v>2040</v>
      </c>
      <c r="F255" s="367" t="s">
        <v>2044</v>
      </c>
      <c r="G255" s="294" t="s">
        <v>1520</v>
      </c>
      <c r="H255" s="321" t="s">
        <v>2041</v>
      </c>
      <c r="I255" s="328">
        <f>(43162939.01)/1000*$I$5</f>
        <v>43162.939009999995</v>
      </c>
      <c r="J255" s="328">
        <f>I255-(0)/1000*$I$5</f>
        <v>43162.939009999995</v>
      </c>
      <c r="K255" s="299" t="s">
        <v>2042</v>
      </c>
      <c r="L255" s="303"/>
    </row>
    <row r="256" spans="1:13" s="281" customFormat="1" ht="150" customHeight="1" x14ac:dyDescent="0.2">
      <c r="A256" s="302"/>
      <c r="B256" s="277" t="s">
        <v>2667</v>
      </c>
      <c r="C256" s="633"/>
      <c r="D256" s="367" t="s">
        <v>2045</v>
      </c>
      <c r="E256" s="278" t="s">
        <v>2046</v>
      </c>
      <c r="F256" s="367" t="s">
        <v>2047</v>
      </c>
      <c r="G256" s="294" t="s">
        <v>1520</v>
      </c>
      <c r="H256" s="321" t="s">
        <v>1526</v>
      </c>
      <c r="I256" s="196">
        <f>(4857411.67)/1000*$I$5</f>
        <v>4857.4116699999995</v>
      </c>
      <c r="J256" s="196">
        <f>I256-(0)/1000*$I$5</f>
        <v>4857.4116699999995</v>
      </c>
      <c r="K256" s="299"/>
      <c r="L256" s="303"/>
    </row>
    <row r="257" spans="1:13" ht="219.75" customHeight="1" x14ac:dyDescent="0.2">
      <c r="A257" s="75" t="s">
        <v>685</v>
      </c>
      <c r="B257" s="277" t="s">
        <v>754</v>
      </c>
      <c r="C257" s="355" t="s">
        <v>1283</v>
      </c>
      <c r="D257" s="350" t="s">
        <v>1281</v>
      </c>
      <c r="E257" s="182" t="s">
        <v>551</v>
      </c>
      <c r="F257" s="350" t="s">
        <v>1272</v>
      </c>
      <c r="G257" s="353" t="s">
        <v>6</v>
      </c>
      <c r="H257" s="353" t="s">
        <v>7</v>
      </c>
      <c r="I257" s="196">
        <f>(444005270)/1000*$I$5</f>
        <v>444005.27</v>
      </c>
      <c r="J257" s="196">
        <f>I257-(1802298+116204+5445957+4438015+332211+8285705+1361841+6213406+130743)/1000*$I$5</f>
        <v>415878.89</v>
      </c>
      <c r="K257" s="197" t="s">
        <v>1271</v>
      </c>
      <c r="L257" s="78"/>
      <c r="M257" s="60" t="s">
        <v>551</v>
      </c>
    </row>
    <row r="258" spans="1:13" ht="93" customHeight="1" x14ac:dyDescent="0.2">
      <c r="A258" s="75" t="s">
        <v>688</v>
      </c>
      <c r="B258" s="277" t="s">
        <v>1324</v>
      </c>
      <c r="C258" s="355" t="s">
        <v>1001</v>
      </c>
      <c r="D258" s="352" t="s">
        <v>1282</v>
      </c>
      <c r="E258" s="181" t="s">
        <v>581</v>
      </c>
      <c r="F258" s="352" t="s">
        <v>1284</v>
      </c>
      <c r="G258" s="354" t="s">
        <v>4</v>
      </c>
      <c r="H258" s="354" t="s">
        <v>24</v>
      </c>
      <c r="I258" s="193">
        <f>(37438795+4559067)/1000*$I$5</f>
        <v>41997.862000000001</v>
      </c>
      <c r="J258" s="193">
        <f t="shared" ref="J258:J264" si="10">I258-(0)/1000*$I$5</f>
        <v>41997.862000000001</v>
      </c>
      <c r="K258" s="66" t="s">
        <v>681</v>
      </c>
      <c r="L258" s="78"/>
      <c r="M258" s="60" t="s">
        <v>581</v>
      </c>
    </row>
    <row r="259" spans="1:13" ht="102" customHeight="1" x14ac:dyDescent="0.2">
      <c r="A259" s="75" t="s">
        <v>689</v>
      </c>
      <c r="B259" s="277" t="s">
        <v>762</v>
      </c>
      <c r="C259" s="355" t="s">
        <v>1285</v>
      </c>
      <c r="D259" s="582" t="s">
        <v>1287</v>
      </c>
      <c r="E259" s="182" t="s">
        <v>562</v>
      </c>
      <c r="F259" s="350" t="s">
        <v>1286</v>
      </c>
      <c r="G259" s="77" t="s">
        <v>46</v>
      </c>
      <c r="H259" s="77" t="s">
        <v>52</v>
      </c>
      <c r="I259" s="193">
        <f>(12510963+537851)/1000*$I$5</f>
        <v>13048.814</v>
      </c>
      <c r="J259" s="193">
        <f t="shared" si="10"/>
        <v>13048.814</v>
      </c>
      <c r="K259" s="66" t="s">
        <v>558</v>
      </c>
      <c r="L259" s="78"/>
      <c r="M259" s="60" t="s">
        <v>562</v>
      </c>
    </row>
    <row r="260" spans="1:13" ht="48" x14ac:dyDescent="0.2">
      <c r="A260" s="75" t="s">
        <v>690</v>
      </c>
      <c r="B260" s="300" t="s">
        <v>1434</v>
      </c>
      <c r="C260" s="355" t="s">
        <v>579</v>
      </c>
      <c r="D260" s="584"/>
      <c r="E260" s="181" t="s">
        <v>580</v>
      </c>
      <c r="F260" s="352" t="s">
        <v>1288</v>
      </c>
      <c r="G260" s="77" t="s">
        <v>488</v>
      </c>
      <c r="H260" s="77" t="s">
        <v>7</v>
      </c>
      <c r="I260" s="193">
        <f>(2281959)/1000*$I$5</f>
        <v>2281.9589999999998</v>
      </c>
      <c r="J260" s="193">
        <f t="shared" si="10"/>
        <v>2281.9589999999998</v>
      </c>
      <c r="K260" s="66" t="s">
        <v>578</v>
      </c>
      <c r="L260" s="78"/>
      <c r="M260" s="60" t="s">
        <v>580</v>
      </c>
    </row>
    <row r="261" spans="1:13" ht="60" x14ac:dyDescent="0.2">
      <c r="A261" s="75" t="s">
        <v>691</v>
      </c>
      <c r="B261" s="277" t="s">
        <v>2668</v>
      </c>
      <c r="C261" s="607" t="s">
        <v>771</v>
      </c>
      <c r="D261" s="352" t="s">
        <v>632</v>
      </c>
      <c r="E261" s="181" t="s">
        <v>634</v>
      </c>
      <c r="F261" s="352" t="s">
        <v>1289</v>
      </c>
      <c r="G261" s="77" t="s">
        <v>101</v>
      </c>
      <c r="H261" s="77" t="s">
        <v>103</v>
      </c>
      <c r="I261" s="193">
        <f>(7649009)/1000*$I$5</f>
        <v>7649.009</v>
      </c>
      <c r="J261" s="193">
        <f t="shared" si="10"/>
        <v>7649.009</v>
      </c>
      <c r="K261" s="66" t="s">
        <v>633</v>
      </c>
      <c r="L261" s="78"/>
      <c r="M261" s="60" t="s">
        <v>634</v>
      </c>
    </row>
    <row r="262" spans="1:13" s="281" customFormat="1" ht="84" customHeight="1" x14ac:dyDescent="0.2">
      <c r="A262" s="302"/>
      <c r="B262" s="277" t="s">
        <v>2669</v>
      </c>
      <c r="C262" s="608"/>
      <c r="D262" s="629" t="s">
        <v>433</v>
      </c>
      <c r="E262" s="322" t="s">
        <v>1729</v>
      </c>
      <c r="F262" s="315" t="s">
        <v>1732</v>
      </c>
      <c r="G262" s="300" t="s">
        <v>1586</v>
      </c>
      <c r="H262" s="300" t="s">
        <v>638</v>
      </c>
      <c r="I262" s="314">
        <f>(1990000)/1000*$I$5</f>
        <v>1990</v>
      </c>
      <c r="J262" s="314">
        <f t="shared" si="10"/>
        <v>1990</v>
      </c>
      <c r="K262" s="299" t="s">
        <v>1732</v>
      </c>
      <c r="L262" s="303"/>
    </row>
    <row r="263" spans="1:13" s="281" customFormat="1" ht="48" x14ac:dyDescent="0.2">
      <c r="A263" s="302"/>
      <c r="B263" s="277" t="s">
        <v>2670</v>
      </c>
      <c r="C263" s="608"/>
      <c r="D263" s="630"/>
      <c r="E263" s="322" t="s">
        <v>1730</v>
      </c>
      <c r="F263" s="315" t="s">
        <v>1731</v>
      </c>
      <c r="G263" s="300" t="s">
        <v>1635</v>
      </c>
      <c r="H263" s="300" t="s">
        <v>1527</v>
      </c>
      <c r="I263" s="314">
        <f>(1300000)/1000*$I$5</f>
        <v>1300</v>
      </c>
      <c r="J263" s="314">
        <f t="shared" si="10"/>
        <v>1300</v>
      </c>
      <c r="K263" s="299" t="s">
        <v>2674</v>
      </c>
      <c r="L263" s="303"/>
    </row>
    <row r="264" spans="1:13" s="281" customFormat="1" ht="72" x14ac:dyDescent="0.2">
      <c r="A264" s="302"/>
      <c r="B264" s="277" t="s">
        <v>2671</v>
      </c>
      <c r="C264" s="608"/>
      <c r="D264" s="630"/>
      <c r="E264" s="322" t="s">
        <v>1735</v>
      </c>
      <c r="F264" s="315" t="s">
        <v>1736</v>
      </c>
      <c r="G264" s="300" t="s">
        <v>1643</v>
      </c>
      <c r="H264" s="300" t="s">
        <v>1737</v>
      </c>
      <c r="I264" s="314">
        <f>(1340000)/1000*$I$5</f>
        <v>1340</v>
      </c>
      <c r="J264" s="314">
        <f t="shared" si="10"/>
        <v>1340</v>
      </c>
      <c r="K264" s="299" t="s">
        <v>2675</v>
      </c>
      <c r="L264" s="303"/>
    </row>
    <row r="265" spans="1:13" s="281" customFormat="1" ht="108" x14ac:dyDescent="0.2">
      <c r="A265" s="302"/>
      <c r="B265" s="277" t="s">
        <v>2672</v>
      </c>
      <c r="C265" s="608"/>
      <c r="D265" s="630"/>
      <c r="E265" s="322" t="s">
        <v>1738</v>
      </c>
      <c r="F265" s="315" t="s">
        <v>1741</v>
      </c>
      <c r="G265" s="300" t="s">
        <v>1603</v>
      </c>
      <c r="H265" s="300" t="s">
        <v>1742</v>
      </c>
      <c r="I265" s="314">
        <f>(5100000)/1000*$I$5</f>
        <v>5100</v>
      </c>
      <c r="J265" s="314">
        <f>I265-(428527)/1000*$I$5</f>
        <v>4671.473</v>
      </c>
      <c r="K265" s="299" t="s">
        <v>2676</v>
      </c>
      <c r="L265" s="303"/>
    </row>
    <row r="266" spans="1:13" s="281" customFormat="1" ht="60" x14ac:dyDescent="0.2">
      <c r="A266" s="302"/>
      <c r="B266" s="277" t="s">
        <v>2673</v>
      </c>
      <c r="C266" s="628"/>
      <c r="D266" s="630"/>
      <c r="E266" s="322" t="s">
        <v>1739</v>
      </c>
      <c r="F266" s="315" t="s">
        <v>1740</v>
      </c>
      <c r="G266" s="309" t="s">
        <v>2058</v>
      </c>
      <c r="H266" s="300" t="s">
        <v>1743</v>
      </c>
      <c r="I266" s="314">
        <f>(14100000)/1000*$I$5</f>
        <v>14100</v>
      </c>
      <c r="J266" s="314">
        <f>(14100000)/1000*$I$5</f>
        <v>14100</v>
      </c>
      <c r="K266" s="299" t="s">
        <v>2048</v>
      </c>
      <c r="L266" s="303"/>
    </row>
    <row r="267" spans="1:13" s="281" customFormat="1" ht="36" x14ac:dyDescent="0.2">
      <c r="A267" s="302"/>
      <c r="B267" s="277" t="s">
        <v>1445</v>
      </c>
      <c r="C267" s="364" t="s">
        <v>2067</v>
      </c>
      <c r="D267" s="631"/>
      <c r="E267" s="322" t="s">
        <v>1733</v>
      </c>
      <c r="F267" s="315" t="s">
        <v>1734</v>
      </c>
      <c r="G267" s="300" t="s">
        <v>1635</v>
      </c>
      <c r="H267" s="300" t="s">
        <v>1527</v>
      </c>
      <c r="I267" s="314">
        <f>(1780000)/1000*$I$5</f>
        <v>1780</v>
      </c>
      <c r="J267" s="314">
        <f>I267-(0)/1000*$I$5</f>
        <v>1780</v>
      </c>
      <c r="K267" s="299" t="s">
        <v>2674</v>
      </c>
      <c r="L267" s="303"/>
    </row>
    <row r="268" spans="1:13" s="281" customFormat="1" ht="192" x14ac:dyDescent="0.2">
      <c r="A268" s="302"/>
      <c r="B268" s="277" t="s">
        <v>1451</v>
      </c>
      <c r="C268" s="632" t="s">
        <v>771</v>
      </c>
      <c r="D268" s="367" t="s">
        <v>2054</v>
      </c>
      <c r="E268" s="322" t="s">
        <v>2059</v>
      </c>
      <c r="F268" s="315" t="s">
        <v>2057</v>
      </c>
      <c r="G268" s="300" t="s">
        <v>598</v>
      </c>
      <c r="H268" s="300" t="s">
        <v>2060</v>
      </c>
      <c r="I268" s="314">
        <f>(14500000)/1000*$I$5</f>
        <v>14500</v>
      </c>
      <c r="J268" s="314">
        <f>I268-(119355+34094.86+5816509)/1000*$I$5</f>
        <v>8530.0411399999994</v>
      </c>
      <c r="K268" s="368" t="s">
        <v>2051</v>
      </c>
      <c r="L268" s="303"/>
    </row>
    <row r="269" spans="1:13" s="281" customFormat="1" ht="60" x14ac:dyDescent="0.2">
      <c r="A269" s="302"/>
      <c r="B269" s="300" t="s">
        <v>1452</v>
      </c>
      <c r="C269" s="633"/>
      <c r="D269" s="367" t="s">
        <v>2309</v>
      </c>
      <c r="E269" s="322" t="s">
        <v>2315</v>
      </c>
      <c r="F269" s="315" t="s">
        <v>2314</v>
      </c>
      <c r="G269" s="300" t="s">
        <v>1559</v>
      </c>
      <c r="H269" s="300" t="s">
        <v>610</v>
      </c>
      <c r="I269" s="314">
        <f>(220707.71)/1000*$I$5</f>
        <v>220.70770999999999</v>
      </c>
      <c r="J269" s="314">
        <f>I269-(0)/1000*$I$5</f>
        <v>220.70770999999999</v>
      </c>
      <c r="K269" s="368" t="s">
        <v>2313</v>
      </c>
      <c r="L269" s="303"/>
    </row>
    <row r="270" spans="1:13" s="281" customFormat="1" ht="192" x14ac:dyDescent="0.2">
      <c r="A270" s="302"/>
      <c r="B270" s="277" t="s">
        <v>1459</v>
      </c>
      <c r="C270" s="364" t="s">
        <v>2677</v>
      </c>
      <c r="D270" s="367" t="s">
        <v>2068</v>
      </c>
      <c r="E270" s="322" t="s">
        <v>2069</v>
      </c>
      <c r="F270" s="315" t="s">
        <v>2951</v>
      </c>
      <c r="G270" s="300" t="s">
        <v>1614</v>
      </c>
      <c r="H270" s="300" t="s">
        <v>1635</v>
      </c>
      <c r="I270" s="314">
        <f>(547321)/1000*$I$5</f>
        <v>547.32100000000003</v>
      </c>
      <c r="J270" s="314">
        <f>I270-(0)/1000*$I$5</f>
        <v>547.32100000000003</v>
      </c>
      <c r="K270" s="299" t="s">
        <v>2952</v>
      </c>
      <c r="L270" s="303"/>
    </row>
    <row r="271" spans="1:13" ht="108" x14ac:dyDescent="0.2">
      <c r="A271" s="112" t="s">
        <v>693</v>
      </c>
      <c r="B271" s="300" t="s">
        <v>1462</v>
      </c>
      <c r="C271" s="4" t="s">
        <v>559</v>
      </c>
      <c r="D271" s="352" t="s">
        <v>1728</v>
      </c>
      <c r="E271" s="181" t="s">
        <v>566</v>
      </c>
      <c r="F271" s="352" t="s">
        <v>1290</v>
      </c>
      <c r="G271" s="77" t="s">
        <v>427</v>
      </c>
      <c r="H271" s="77" t="s">
        <v>7</v>
      </c>
      <c r="I271" s="193">
        <f>(3700000)/1000*$I$5</f>
        <v>3700</v>
      </c>
      <c r="J271" s="193">
        <f>I271-(1300000)/1000*$I$5</f>
        <v>2400</v>
      </c>
      <c r="K271" s="66" t="s">
        <v>570</v>
      </c>
      <c r="L271" s="78"/>
      <c r="M271" s="60" t="s">
        <v>566</v>
      </c>
    </row>
    <row r="272" spans="1:13" ht="140.25" customHeight="1" x14ac:dyDescent="0.2">
      <c r="A272" s="75" t="s">
        <v>1291</v>
      </c>
      <c r="B272" s="277" t="s">
        <v>1463</v>
      </c>
      <c r="C272" s="355" t="s">
        <v>559</v>
      </c>
      <c r="D272" s="352" t="s">
        <v>1292</v>
      </c>
      <c r="E272" s="181" t="s">
        <v>561</v>
      </c>
      <c r="F272" s="352" t="s">
        <v>1293</v>
      </c>
      <c r="G272" s="77" t="s">
        <v>54</v>
      </c>
      <c r="H272" s="77" t="s">
        <v>52</v>
      </c>
      <c r="I272" s="193">
        <f>(1555540)/1000*$I$5</f>
        <v>1555.54</v>
      </c>
      <c r="J272" s="193">
        <f>I272-(0)/1000*$I$5</f>
        <v>1555.54</v>
      </c>
      <c r="K272" s="66" t="s">
        <v>560</v>
      </c>
      <c r="L272" s="78"/>
      <c r="M272" s="60" t="s">
        <v>561</v>
      </c>
    </row>
    <row r="273" spans="1:13" ht="156" x14ac:dyDescent="0.2">
      <c r="A273" s="75" t="s">
        <v>696</v>
      </c>
      <c r="B273" s="300" t="s">
        <v>1474</v>
      </c>
      <c r="C273" s="355" t="s">
        <v>1295</v>
      </c>
      <c r="D273" s="352" t="s">
        <v>1294</v>
      </c>
      <c r="E273" s="181" t="s">
        <v>592</v>
      </c>
      <c r="F273" s="352" t="s">
        <v>1296</v>
      </c>
      <c r="G273" s="77" t="s">
        <v>124</v>
      </c>
      <c r="H273" s="77" t="s">
        <v>7</v>
      </c>
      <c r="I273" s="193">
        <v>35340.406999999999</v>
      </c>
      <c r="J273" s="193">
        <v>35340.406999999999</v>
      </c>
      <c r="K273" s="66" t="s">
        <v>774</v>
      </c>
      <c r="L273" s="78"/>
      <c r="M273" s="60" t="s">
        <v>592</v>
      </c>
    </row>
    <row r="274" spans="1:13" ht="204" customHeight="1" x14ac:dyDescent="0.2">
      <c r="A274" s="75" t="s">
        <v>697</v>
      </c>
      <c r="B274" s="277" t="s">
        <v>2146</v>
      </c>
      <c r="C274" s="355" t="s">
        <v>1297</v>
      </c>
      <c r="D274" s="352" t="s">
        <v>1298</v>
      </c>
      <c r="E274" s="181" t="s">
        <v>644</v>
      </c>
      <c r="F274" s="352" t="s">
        <v>1299</v>
      </c>
      <c r="G274" s="77" t="s">
        <v>107</v>
      </c>
      <c r="H274" s="77" t="s">
        <v>63</v>
      </c>
      <c r="I274" s="193">
        <f>(21476783)/1000*$I$5</f>
        <v>21476.782999999999</v>
      </c>
      <c r="J274" s="193">
        <f>I274-(0)/1000*$I$5</f>
        <v>21476.782999999999</v>
      </c>
      <c r="K274" s="66" t="s">
        <v>643</v>
      </c>
      <c r="L274" s="78"/>
      <c r="M274" s="60" t="s">
        <v>644</v>
      </c>
    </row>
    <row r="275" spans="1:13" ht="174" customHeight="1" x14ac:dyDescent="0.2">
      <c r="A275" s="75" t="s">
        <v>698</v>
      </c>
      <c r="B275" s="277" t="s">
        <v>2678</v>
      </c>
      <c r="C275" s="355" t="s">
        <v>645</v>
      </c>
      <c r="D275" s="352" t="s">
        <v>1300</v>
      </c>
      <c r="E275" s="181" t="s">
        <v>2074</v>
      </c>
      <c r="F275" s="352" t="s">
        <v>1301</v>
      </c>
      <c r="G275" s="77" t="s">
        <v>16</v>
      </c>
      <c r="H275" s="77" t="s">
        <v>63</v>
      </c>
      <c r="I275" s="331">
        <f>(11400000)/1000*$I$5</f>
        <v>11400</v>
      </c>
      <c r="J275" s="331">
        <f>I275-(0)/1000*$I$5</f>
        <v>11400</v>
      </c>
      <c r="K275" s="66" t="s">
        <v>646</v>
      </c>
      <c r="L275" s="78"/>
    </row>
    <row r="276" spans="1:13" ht="132" x14ac:dyDescent="0.2">
      <c r="A276" s="75" t="s">
        <v>700</v>
      </c>
      <c r="B276" s="277" t="s">
        <v>2679</v>
      </c>
      <c r="C276" s="355" t="s">
        <v>582</v>
      </c>
      <c r="D276" s="352" t="s">
        <v>1302</v>
      </c>
      <c r="E276" s="181" t="s">
        <v>583</v>
      </c>
      <c r="F276" s="352" t="s">
        <v>1303</v>
      </c>
      <c r="G276" s="77" t="s">
        <v>14</v>
      </c>
      <c r="H276" s="77" t="s">
        <v>91</v>
      </c>
      <c r="I276" s="193">
        <f>(2201287+41913)/1000*$I$5</f>
        <v>2243.1999999999998</v>
      </c>
      <c r="J276" s="193">
        <f>I276-(0)/1000*$I$5</f>
        <v>2243.1999999999998</v>
      </c>
      <c r="K276" s="66" t="s">
        <v>584</v>
      </c>
      <c r="L276" s="78"/>
      <c r="M276" s="60" t="s">
        <v>583</v>
      </c>
    </row>
    <row r="277" spans="1:13" ht="108" x14ac:dyDescent="0.2">
      <c r="A277" s="75" t="s">
        <v>1308</v>
      </c>
      <c r="B277" s="277" t="s">
        <v>2680</v>
      </c>
      <c r="C277" s="355" t="s">
        <v>1304</v>
      </c>
      <c r="D277" s="582" t="s">
        <v>1311</v>
      </c>
      <c r="E277" s="182" t="s">
        <v>588</v>
      </c>
      <c r="F277" s="350" t="s">
        <v>1306</v>
      </c>
      <c r="G277" s="77" t="s">
        <v>35</v>
      </c>
      <c r="H277" s="77" t="s">
        <v>230</v>
      </c>
      <c r="I277" s="193">
        <f>(3829000-217990)/1000*$I$5</f>
        <v>3611.01</v>
      </c>
      <c r="J277" s="193">
        <f>I277-(262712)/1000*$I$5</f>
        <v>3348.2980000000002</v>
      </c>
      <c r="K277" s="66" t="s">
        <v>776</v>
      </c>
      <c r="L277" s="350" t="s">
        <v>1007</v>
      </c>
      <c r="M277" s="60" t="s">
        <v>588</v>
      </c>
    </row>
    <row r="278" spans="1:13" ht="82.5" customHeight="1" x14ac:dyDescent="0.2">
      <c r="A278" s="75" t="s">
        <v>1309</v>
      </c>
      <c r="B278" s="302" t="s">
        <v>2681</v>
      </c>
      <c r="C278" s="355" t="s">
        <v>1305</v>
      </c>
      <c r="D278" s="584"/>
      <c r="E278" s="181" t="s">
        <v>1008</v>
      </c>
      <c r="F278" s="350" t="s">
        <v>1307</v>
      </c>
      <c r="G278" s="77" t="s">
        <v>7</v>
      </c>
      <c r="H278" s="113" t="s">
        <v>91</v>
      </c>
      <c r="I278" s="114">
        <f>(4794400)/1000*$I$5</f>
        <v>4794.3999999999996</v>
      </c>
      <c r="J278" s="114">
        <f>I278-(0)/1000*$I$5</f>
        <v>4794.3999999999996</v>
      </c>
      <c r="K278" s="66" t="s">
        <v>591</v>
      </c>
      <c r="L278" s="78"/>
      <c r="M278" s="60" t="s">
        <v>589</v>
      </c>
    </row>
    <row r="279" spans="1:13" ht="108" x14ac:dyDescent="0.2">
      <c r="A279" s="75" t="s">
        <v>705</v>
      </c>
      <c r="B279" s="277" t="s">
        <v>2682</v>
      </c>
      <c r="C279" s="355" t="s">
        <v>778</v>
      </c>
      <c r="D279" s="582" t="s">
        <v>1313</v>
      </c>
      <c r="E279" s="182" t="s">
        <v>596</v>
      </c>
      <c r="F279" s="350" t="s">
        <v>1310</v>
      </c>
      <c r="G279" s="353" t="s">
        <v>91</v>
      </c>
      <c r="H279" s="353" t="s">
        <v>1743</v>
      </c>
      <c r="I279" s="188">
        <f>(643437996)/1000*$I$5</f>
        <v>643437.99600000004</v>
      </c>
      <c r="J279" s="193">
        <f>I279-(323242749+25894212+30130843+582706+506567+6431012+9466678+2847445+3299873+1773039+730584+2798678+4434391+900000+2970163+8287018+5179344+1545849)/1000*$I$5</f>
        <v>212416.84500000003</v>
      </c>
      <c r="K279" s="66" t="s">
        <v>595</v>
      </c>
      <c r="L279" s="78"/>
      <c r="M279" s="60" t="s">
        <v>596</v>
      </c>
    </row>
    <row r="280" spans="1:13" ht="55.5" customHeight="1" x14ac:dyDescent="0.2">
      <c r="A280" s="75" t="s">
        <v>706</v>
      </c>
      <c r="B280" s="300" t="s">
        <v>2683</v>
      </c>
      <c r="C280" s="355" t="s">
        <v>594</v>
      </c>
      <c r="D280" s="583"/>
      <c r="E280" s="183" t="s">
        <v>597</v>
      </c>
      <c r="F280" s="131" t="s">
        <v>1312</v>
      </c>
      <c r="G280" s="77" t="s">
        <v>211</v>
      </c>
      <c r="H280" s="77" t="s">
        <v>11</v>
      </c>
      <c r="I280" s="195">
        <f>(85900080)/1000*$I$5</f>
        <v>85900.08</v>
      </c>
      <c r="J280" s="193">
        <f>I280-(2220688+614603+606803)/1000*$I$5</f>
        <v>82457.986000000004</v>
      </c>
      <c r="K280" s="197" t="s">
        <v>779</v>
      </c>
      <c r="L280" s="78"/>
      <c r="M280" s="60" t="s">
        <v>597</v>
      </c>
    </row>
    <row r="281" spans="1:13" ht="144" x14ac:dyDescent="0.2">
      <c r="A281" s="75" t="s">
        <v>721</v>
      </c>
      <c r="B281" s="300" t="s">
        <v>2684</v>
      </c>
      <c r="C281" s="355" t="s">
        <v>780</v>
      </c>
      <c r="D281" s="352" t="s">
        <v>1313</v>
      </c>
      <c r="E281" s="181" t="s">
        <v>1010</v>
      </c>
      <c r="F281" s="131" t="s">
        <v>1314</v>
      </c>
      <c r="G281" s="354" t="s">
        <v>11</v>
      </c>
      <c r="H281" s="354" t="s">
        <v>1591</v>
      </c>
      <c r="I281" s="193">
        <f>(142758713)/1000*$I$5</f>
        <v>142758.71299999999</v>
      </c>
      <c r="J281" s="193">
        <f>I281-(3974529+2178400+550000+3601754+7356265+501298)/1000*$I$5</f>
        <v>124596.46699999999</v>
      </c>
      <c r="K281" s="359" t="s">
        <v>781</v>
      </c>
      <c r="L281" s="78"/>
    </row>
    <row r="282" spans="1:13" ht="144" x14ac:dyDescent="0.2">
      <c r="A282" s="302"/>
      <c r="B282" s="277" t="s">
        <v>2685</v>
      </c>
      <c r="C282" s="632" t="s">
        <v>2316</v>
      </c>
      <c r="D282" s="315" t="s">
        <v>2321</v>
      </c>
      <c r="E282" s="322" t="s">
        <v>2317</v>
      </c>
      <c r="F282" s="315" t="s">
        <v>2318</v>
      </c>
      <c r="G282" s="302" t="s">
        <v>1830</v>
      </c>
      <c r="H282" s="302" t="s">
        <v>1520</v>
      </c>
      <c r="I282" s="314">
        <f>(30281875+1549529+4350355)/1000*$I$5</f>
        <v>36181.758999999998</v>
      </c>
      <c r="J282" s="314">
        <f>I282-(16236336+246627+3198879+293038+2417165+1340542)/1000*$I$5</f>
        <v>12449.171999999999</v>
      </c>
      <c r="K282" s="315" t="s">
        <v>2319</v>
      </c>
      <c r="L282" s="78"/>
    </row>
    <row r="283" spans="1:13" ht="156" x14ac:dyDescent="0.2">
      <c r="A283" s="302"/>
      <c r="B283" s="277" t="s">
        <v>2686</v>
      </c>
      <c r="C283" s="634"/>
      <c r="D283" s="315" t="s">
        <v>2324</v>
      </c>
      <c r="E283" s="322" t="s">
        <v>2322</v>
      </c>
      <c r="F283" s="315" t="s">
        <v>2318</v>
      </c>
      <c r="G283" s="302" t="s">
        <v>1579</v>
      </c>
      <c r="H283" s="302" t="s">
        <v>1575</v>
      </c>
      <c r="I283" s="314">
        <f>(941357)/1000*$I$5</f>
        <v>941.35699999999997</v>
      </c>
      <c r="J283" s="314">
        <f>I283-(0)/1000*$I$5</f>
        <v>941.35699999999997</v>
      </c>
      <c r="K283" s="315" t="s">
        <v>2323</v>
      </c>
      <c r="L283" s="78"/>
    </row>
    <row r="284" spans="1:13" ht="156" x14ac:dyDescent="0.2">
      <c r="A284" s="302"/>
      <c r="B284" s="277" t="s">
        <v>2687</v>
      </c>
      <c r="C284" s="633"/>
      <c r="D284" s="315" t="s">
        <v>2955</v>
      </c>
      <c r="E284" s="322" t="s">
        <v>2326</v>
      </c>
      <c r="F284" s="315" t="s">
        <v>2325</v>
      </c>
      <c r="G284" s="302" t="s">
        <v>1830</v>
      </c>
      <c r="H284" s="302" t="s">
        <v>638</v>
      </c>
      <c r="I284" s="314">
        <f>(3066386)/1000*$I$5</f>
        <v>3066.386</v>
      </c>
      <c r="J284" s="314">
        <f>I284-(352983)/1000*$I$5</f>
        <v>2713.4029999999998</v>
      </c>
      <c r="K284" s="315" t="s">
        <v>2320</v>
      </c>
      <c r="L284" s="78"/>
    </row>
    <row r="285" spans="1:13" ht="132" x14ac:dyDescent="0.2">
      <c r="A285" s="302"/>
      <c r="B285" s="300" t="s">
        <v>2688</v>
      </c>
      <c r="C285" s="364" t="s">
        <v>2518</v>
      </c>
      <c r="D285" s="315" t="s">
        <v>2519</v>
      </c>
      <c r="E285" s="322" t="s">
        <v>2520</v>
      </c>
      <c r="F285" s="315" t="s">
        <v>2521</v>
      </c>
      <c r="G285" s="302" t="s">
        <v>1636</v>
      </c>
      <c r="H285" s="302" t="s">
        <v>1636</v>
      </c>
      <c r="I285" s="314">
        <f>(200000)/1000*$I$5</f>
        <v>200</v>
      </c>
      <c r="J285" s="314">
        <f>I285-(0)/1000*$I$5</f>
        <v>200</v>
      </c>
      <c r="K285" s="315" t="s">
        <v>2522</v>
      </c>
      <c r="L285" s="78"/>
    </row>
    <row r="286" spans="1:13" s="281" customFormat="1" ht="96" x14ac:dyDescent="0.2">
      <c r="A286" s="302"/>
      <c r="B286" s="300" t="s">
        <v>2689</v>
      </c>
      <c r="C286" s="364" t="s">
        <v>2165</v>
      </c>
      <c r="D286" s="315" t="s">
        <v>2164</v>
      </c>
      <c r="E286" s="322" t="s">
        <v>2162</v>
      </c>
      <c r="F286" s="315" t="s">
        <v>2163</v>
      </c>
      <c r="G286" s="302" t="s">
        <v>20</v>
      </c>
      <c r="H286" s="302" t="s">
        <v>15</v>
      </c>
      <c r="I286" s="314">
        <f>(8916750+3227059)/1000*$I$5</f>
        <v>12143.808999999999</v>
      </c>
      <c r="J286" s="314">
        <f>I286-(0)/1000*$I$5</f>
        <v>12143.808999999999</v>
      </c>
      <c r="K286" s="315" t="s">
        <v>2166</v>
      </c>
      <c r="L286" s="303"/>
    </row>
    <row r="287" spans="1:13" s="281" customFormat="1" ht="168" x14ac:dyDescent="0.2">
      <c r="A287" s="302"/>
      <c r="B287" s="277" t="s">
        <v>2690</v>
      </c>
      <c r="C287" s="364" t="s">
        <v>2235</v>
      </c>
      <c r="D287" s="315" t="s">
        <v>2239</v>
      </c>
      <c r="E287" s="322" t="s">
        <v>2236</v>
      </c>
      <c r="F287" s="315" t="s">
        <v>2238</v>
      </c>
      <c r="G287" s="302" t="s">
        <v>15</v>
      </c>
      <c r="H287" s="302" t="s">
        <v>1677</v>
      </c>
      <c r="I287" s="314">
        <f>(12142956)/1000*$I$5</f>
        <v>12142.956</v>
      </c>
      <c r="J287" s="314">
        <f>I287-(2491891+3035260)/1000*$I$5</f>
        <v>6615.8050000000003</v>
      </c>
      <c r="K287" s="315" t="s">
        <v>2237</v>
      </c>
      <c r="L287" s="303"/>
    </row>
    <row r="288" spans="1:13" s="281" customFormat="1" ht="67.5" customHeight="1" x14ac:dyDescent="0.2">
      <c r="A288" s="302"/>
      <c r="B288" s="277" t="s">
        <v>2691</v>
      </c>
      <c r="C288" s="364" t="s">
        <v>2295</v>
      </c>
      <c r="D288" s="348"/>
      <c r="E288" s="322"/>
      <c r="F288" s="315"/>
      <c r="G288" s="302"/>
      <c r="H288" s="302"/>
      <c r="I288" s="314"/>
      <c r="J288" s="314"/>
      <c r="K288" s="315"/>
      <c r="L288" s="303"/>
    </row>
    <row r="289" spans="1:12" s="281" customFormat="1" ht="184.5" customHeight="1" x14ac:dyDescent="0.2">
      <c r="A289" s="302"/>
      <c r="B289" s="277" t="s">
        <v>2693</v>
      </c>
      <c r="C289" s="632" t="s">
        <v>2296</v>
      </c>
      <c r="D289" s="367" t="s">
        <v>2305</v>
      </c>
      <c r="E289" s="322" t="s">
        <v>2297</v>
      </c>
      <c r="F289" s="315" t="s">
        <v>2294</v>
      </c>
      <c r="G289" s="302" t="s">
        <v>1591</v>
      </c>
      <c r="H289" s="302" t="s">
        <v>1586</v>
      </c>
      <c r="I289" s="314">
        <f>(36915155/1000*$I$5)</f>
        <v>36915.154999999999</v>
      </c>
      <c r="J289" s="314">
        <f>I289-(3293186)/1000*$I$5</f>
        <v>33621.968999999997</v>
      </c>
      <c r="K289" s="315" t="s">
        <v>2956</v>
      </c>
      <c r="L289" s="303"/>
    </row>
    <row r="290" spans="1:12" s="281" customFormat="1" ht="96" x14ac:dyDescent="0.2">
      <c r="A290" s="302"/>
      <c r="B290" s="277" t="s">
        <v>2694</v>
      </c>
      <c r="C290" s="633"/>
      <c r="D290" s="324" t="s">
        <v>2298</v>
      </c>
      <c r="E290" s="322" t="s">
        <v>2301</v>
      </c>
      <c r="F290" s="315" t="s">
        <v>2299</v>
      </c>
      <c r="G290" s="302" t="s">
        <v>872</v>
      </c>
      <c r="H290" s="302" t="s">
        <v>638</v>
      </c>
      <c r="I290" s="314">
        <f>(1940000/1000*$I$5)</f>
        <v>1940</v>
      </c>
      <c r="J290" s="314">
        <f>I290-(0)/1000*$I$5</f>
        <v>1940</v>
      </c>
      <c r="K290" s="315" t="s">
        <v>2300</v>
      </c>
      <c r="L290" s="303"/>
    </row>
    <row r="291" spans="1:12" s="281" customFormat="1" ht="108" x14ac:dyDescent="0.2">
      <c r="A291" s="302"/>
      <c r="B291" s="277" t="s">
        <v>2692</v>
      </c>
      <c r="C291" s="364" t="s">
        <v>2306</v>
      </c>
      <c r="D291" s="349" t="s">
        <v>2304</v>
      </c>
      <c r="E291" s="322" t="s">
        <v>2302</v>
      </c>
      <c r="F291" s="315" t="s">
        <v>2307</v>
      </c>
      <c r="G291" s="302" t="s">
        <v>638</v>
      </c>
      <c r="H291" s="302" t="s">
        <v>1869</v>
      </c>
      <c r="I291" s="314">
        <f>(190023/1000*$I$5)</f>
        <v>190.023</v>
      </c>
      <c r="J291" s="314">
        <f>I291-(0)/1000*$I$5</f>
        <v>190.023</v>
      </c>
      <c r="K291" s="315" t="s">
        <v>2303</v>
      </c>
      <c r="L291" s="303"/>
    </row>
    <row r="292" spans="1:12" s="281" customFormat="1" ht="60" x14ac:dyDescent="0.2">
      <c r="A292" s="302"/>
      <c r="B292" s="277" t="s">
        <v>2695</v>
      </c>
      <c r="C292" s="364" t="s">
        <v>2308</v>
      </c>
      <c r="D292" s="349" t="s">
        <v>2309</v>
      </c>
      <c r="E292" s="322" t="s">
        <v>2310</v>
      </c>
      <c r="F292" s="315" t="s">
        <v>2311</v>
      </c>
      <c r="G292" s="302" t="s">
        <v>872</v>
      </c>
      <c r="H292" s="302" t="s">
        <v>872</v>
      </c>
      <c r="I292" s="314">
        <f>(1300000/1000*$I$5)</f>
        <v>1300</v>
      </c>
      <c r="J292" s="314">
        <f>I292-(0)/1000*$I$5</f>
        <v>1300</v>
      </c>
      <c r="K292" s="315" t="s">
        <v>2312</v>
      </c>
      <c r="L292" s="303"/>
    </row>
    <row r="293" spans="1:12" s="281" customFormat="1" ht="84" x14ac:dyDescent="0.2">
      <c r="A293" s="302"/>
      <c r="B293" s="277" t="s">
        <v>2696</v>
      </c>
      <c r="C293" s="364" t="s">
        <v>2357</v>
      </c>
      <c r="D293" s="349" t="s">
        <v>2358</v>
      </c>
      <c r="E293" s="322" t="s">
        <v>2355</v>
      </c>
      <c r="F293" s="315" t="s">
        <v>2356</v>
      </c>
      <c r="G293" s="302" t="s">
        <v>1579</v>
      </c>
      <c r="H293" s="302" t="s">
        <v>1520</v>
      </c>
      <c r="I293" s="314">
        <f>(411122/1000*$I$5)</f>
        <v>411.12200000000001</v>
      </c>
      <c r="J293" s="314">
        <f>I293-(0)/1000*$I$5</f>
        <v>411.12200000000001</v>
      </c>
      <c r="K293" s="315" t="s">
        <v>2354</v>
      </c>
      <c r="L293" s="303"/>
    </row>
    <row r="294" spans="1:12" s="281" customFormat="1" ht="84" x14ac:dyDescent="0.2">
      <c r="A294" s="302"/>
      <c r="B294" s="277" t="s">
        <v>2697</v>
      </c>
      <c r="C294" s="364" t="s">
        <v>2289</v>
      </c>
      <c r="D294" s="315" t="s">
        <v>2292</v>
      </c>
      <c r="E294" s="322" t="s">
        <v>2293</v>
      </c>
      <c r="F294" s="315" t="s">
        <v>2290</v>
      </c>
      <c r="G294" s="302" t="s">
        <v>613</v>
      </c>
      <c r="H294" s="302" t="s">
        <v>1635</v>
      </c>
      <c r="I294" s="314">
        <f>(54237288)/1000*$I$5</f>
        <v>54237.288</v>
      </c>
      <c r="J294" s="314">
        <f>I294-(1281801+1997507.78)/1000*$I$5</f>
        <v>50957.979220000001</v>
      </c>
      <c r="K294" s="315" t="s">
        <v>2291</v>
      </c>
      <c r="L294" s="303"/>
    </row>
    <row r="295" spans="1:12" s="281" customFormat="1" ht="132" x14ac:dyDescent="0.2">
      <c r="A295" s="302"/>
      <c r="B295" s="277" t="s">
        <v>2698</v>
      </c>
      <c r="C295" s="364" t="s">
        <v>2393</v>
      </c>
      <c r="D295" s="315" t="s">
        <v>2394</v>
      </c>
      <c r="E295" s="322" t="s">
        <v>2390</v>
      </c>
      <c r="F295" s="315" t="s">
        <v>2391</v>
      </c>
      <c r="G295" s="302" t="s">
        <v>1591</v>
      </c>
      <c r="H295" s="302" t="s">
        <v>638</v>
      </c>
      <c r="I295" s="314">
        <f>(14133297/1000*$I$5)</f>
        <v>14133.297</v>
      </c>
      <c r="J295" s="314">
        <f>I295-(2129846+758164+294572)/1000*$I$5</f>
        <v>10950.715</v>
      </c>
      <c r="K295" s="315" t="s">
        <v>2392</v>
      </c>
      <c r="L295" s="303"/>
    </row>
    <row r="296" spans="1:12" s="281" customFormat="1" ht="96" x14ac:dyDescent="0.2">
      <c r="A296" s="302"/>
      <c r="B296" s="277" t="s">
        <v>2699</v>
      </c>
      <c r="C296" s="364"/>
      <c r="D296" s="315"/>
      <c r="E296" s="322" t="s">
        <v>2398</v>
      </c>
      <c r="F296" s="315" t="s">
        <v>2395</v>
      </c>
      <c r="G296" s="302" t="s">
        <v>2396</v>
      </c>
      <c r="H296" s="302" t="s">
        <v>1635</v>
      </c>
      <c r="I296" s="314">
        <f>(1250000/1000*$I$5)</f>
        <v>1250</v>
      </c>
      <c r="J296" s="314">
        <f>I296-(285697)/1000*$I$5</f>
        <v>964.303</v>
      </c>
      <c r="K296" s="315" t="s">
        <v>2392</v>
      </c>
      <c r="L296" s="303"/>
    </row>
    <row r="297" spans="1:12" s="281" customFormat="1" ht="96" x14ac:dyDescent="0.2">
      <c r="A297" s="302"/>
      <c r="B297" s="300" t="s">
        <v>2700</v>
      </c>
      <c r="C297" s="364" t="s">
        <v>2397</v>
      </c>
      <c r="D297" s="315"/>
      <c r="E297" s="322" t="s">
        <v>2399</v>
      </c>
      <c r="F297" s="315" t="s">
        <v>2400</v>
      </c>
      <c r="G297" s="302" t="s">
        <v>1603</v>
      </c>
      <c r="H297" s="302" t="s">
        <v>1527</v>
      </c>
      <c r="I297" s="314">
        <f>(4802171/1000*$I$5)</f>
        <v>4802.1710000000003</v>
      </c>
      <c r="J297" s="314">
        <f>I297-(1350000)/1000*$I$5</f>
        <v>3452.1710000000003</v>
      </c>
      <c r="K297" s="315"/>
      <c r="L297" s="303"/>
    </row>
    <row r="298" spans="1:12" s="281" customFormat="1" ht="60" x14ac:dyDescent="0.2">
      <c r="A298" s="302"/>
      <c r="B298" s="300" t="s">
        <v>2701</v>
      </c>
      <c r="C298" s="364" t="s">
        <v>2401</v>
      </c>
      <c r="D298" s="315" t="s">
        <v>2405</v>
      </c>
      <c r="E298" s="322" t="s">
        <v>2402</v>
      </c>
      <c r="F298" s="315" t="s">
        <v>2403</v>
      </c>
      <c r="G298" s="302" t="s">
        <v>1575</v>
      </c>
      <c r="H298" s="302" t="s">
        <v>638</v>
      </c>
      <c r="I298" s="314">
        <f>(398305)/1000*$I$5</f>
        <v>398.30500000000001</v>
      </c>
      <c r="J298" s="314">
        <f>I298-(0)/1000*$I$5</f>
        <v>398.30500000000001</v>
      </c>
      <c r="K298" s="315" t="s">
        <v>2404</v>
      </c>
      <c r="L298" s="303"/>
    </row>
    <row r="299" spans="1:12" s="281" customFormat="1" ht="93" customHeight="1" x14ac:dyDescent="0.2">
      <c r="A299" s="302"/>
      <c r="B299" s="300" t="s">
        <v>2702</v>
      </c>
      <c r="C299" s="364" t="s">
        <v>2407</v>
      </c>
      <c r="D299" s="629" t="s">
        <v>2411</v>
      </c>
      <c r="E299" s="322" t="s">
        <v>2406</v>
      </c>
      <c r="F299" s="315" t="s">
        <v>2408</v>
      </c>
      <c r="G299" s="302" t="s">
        <v>1869</v>
      </c>
      <c r="H299" s="346" t="s">
        <v>2410</v>
      </c>
      <c r="I299" s="314">
        <f>(616945628)/1000*$I$5</f>
        <v>616945.62800000003</v>
      </c>
      <c r="J299" s="314">
        <f>I299-(43813201.15)/1000*$I$5</f>
        <v>573132.42685000005</v>
      </c>
      <c r="K299" s="315" t="s">
        <v>2409</v>
      </c>
      <c r="L299" s="303"/>
    </row>
    <row r="300" spans="1:12" s="281" customFormat="1" ht="84" x14ac:dyDescent="0.2">
      <c r="A300" s="302"/>
      <c r="B300" s="300" t="s">
        <v>2703</v>
      </c>
      <c r="C300" s="364" t="s">
        <v>2414</v>
      </c>
      <c r="D300" s="631"/>
      <c r="E300" s="322" t="s">
        <v>2412</v>
      </c>
      <c r="F300" s="315" t="s">
        <v>2415</v>
      </c>
      <c r="G300" s="302" t="s">
        <v>1636</v>
      </c>
      <c r="H300" s="346" t="s">
        <v>1527</v>
      </c>
      <c r="I300" s="314">
        <f>(73780000)/1000*$I$5</f>
        <v>73780</v>
      </c>
      <c r="J300" s="314">
        <f>I300-(387079+500000+759061+677742+1534634+2500000+351694)/1000*$I$5</f>
        <v>67069.789999999994</v>
      </c>
      <c r="K300" s="315" t="s">
        <v>2413</v>
      </c>
      <c r="L300" s="303"/>
    </row>
    <row r="301" spans="1:12" s="281" customFormat="1" ht="72" x14ac:dyDescent="0.2">
      <c r="A301" s="302"/>
      <c r="B301" s="277" t="s">
        <v>2704</v>
      </c>
      <c r="C301" s="632" t="s">
        <v>2423</v>
      </c>
      <c r="D301" s="629" t="s">
        <v>2416</v>
      </c>
      <c r="E301" s="322" t="s">
        <v>2419</v>
      </c>
      <c r="F301" s="315" t="s">
        <v>2417</v>
      </c>
      <c r="G301" s="302" t="s">
        <v>638</v>
      </c>
      <c r="H301" s="346" t="s">
        <v>1527</v>
      </c>
      <c r="I301" s="314">
        <f>(184139788.52+5503990.84)/1000*$I$5</f>
        <v>189643.77936000002</v>
      </c>
      <c r="J301" s="314">
        <f>I301-(68578705+3128087+169998)/1000*$I$5</f>
        <v>117766.98936000002</v>
      </c>
      <c r="K301" s="315" t="s">
        <v>2418</v>
      </c>
      <c r="L301" s="303"/>
    </row>
    <row r="302" spans="1:12" s="281" customFormat="1" ht="84" x14ac:dyDescent="0.2">
      <c r="A302" s="302"/>
      <c r="B302" s="277" t="s">
        <v>2705</v>
      </c>
      <c r="C302" s="634"/>
      <c r="D302" s="631"/>
      <c r="E302" s="322" t="s">
        <v>2421</v>
      </c>
      <c r="F302" s="315" t="s">
        <v>2420</v>
      </c>
      <c r="G302" s="302" t="s">
        <v>638</v>
      </c>
      <c r="H302" s="346" t="s">
        <v>1614</v>
      </c>
      <c r="I302" s="314">
        <f>(415254.24)/1000*$I$5</f>
        <v>415.25423999999998</v>
      </c>
      <c r="J302" s="314">
        <f>I302-(20165.71)/1000*$I$5</f>
        <v>395.08852999999999</v>
      </c>
      <c r="K302" s="315" t="s">
        <v>2422</v>
      </c>
      <c r="L302" s="303"/>
    </row>
    <row r="303" spans="1:12" s="281" customFormat="1" ht="99" customHeight="1" x14ac:dyDescent="0.2">
      <c r="A303" s="302"/>
      <c r="B303" s="277" t="s">
        <v>2706</v>
      </c>
      <c r="C303" s="633"/>
      <c r="D303" s="395" t="s">
        <v>2486</v>
      </c>
      <c r="E303" s="322" t="s">
        <v>2489</v>
      </c>
      <c r="F303" s="315" t="s">
        <v>2487</v>
      </c>
      <c r="G303" s="302" t="s">
        <v>1596</v>
      </c>
      <c r="H303" s="346" t="s">
        <v>1643</v>
      </c>
      <c r="I303" s="314">
        <f>(127293)/1000*$I$5</f>
        <v>127.29300000000001</v>
      </c>
      <c r="J303" s="314">
        <f>I303-(0)/1000*$I$5</f>
        <v>127.29300000000001</v>
      </c>
      <c r="K303" s="315" t="s">
        <v>2488</v>
      </c>
      <c r="L303" s="303"/>
    </row>
    <row r="304" spans="1:12" s="281" customFormat="1" ht="84" x14ac:dyDescent="0.2">
      <c r="A304" s="302"/>
      <c r="B304" s="294" t="s">
        <v>2707</v>
      </c>
      <c r="C304" s="632" t="s">
        <v>2424</v>
      </c>
      <c r="D304" s="349" t="s">
        <v>2416</v>
      </c>
      <c r="E304" s="322" t="s">
        <v>2425</v>
      </c>
      <c r="F304" s="315" t="s">
        <v>2426</v>
      </c>
      <c r="G304" s="302" t="s">
        <v>638</v>
      </c>
      <c r="H304" s="346" t="s">
        <v>1614</v>
      </c>
      <c r="I304" s="314">
        <f>(415254.24)/1000*$I$5</f>
        <v>415.25423999999998</v>
      </c>
      <c r="J304" s="314">
        <f>I304-(0)/1000*$I$5</f>
        <v>415.25423999999998</v>
      </c>
      <c r="K304" s="315" t="s">
        <v>2422</v>
      </c>
      <c r="L304" s="303"/>
    </row>
    <row r="305" spans="1:12" s="281" customFormat="1" ht="92.25" customHeight="1" x14ac:dyDescent="0.2">
      <c r="A305" s="302"/>
      <c r="B305" s="277" t="s">
        <v>2708</v>
      </c>
      <c r="C305" s="633"/>
      <c r="D305" s="384" t="s">
        <v>2428</v>
      </c>
      <c r="E305" s="322" t="s">
        <v>2427</v>
      </c>
      <c r="F305" s="315" t="s">
        <v>2430</v>
      </c>
      <c r="G305" s="302" t="s">
        <v>638</v>
      </c>
      <c r="H305" s="346" t="s">
        <v>2429</v>
      </c>
      <c r="I305" s="314">
        <f>(204356512.93)/1000*$I$5</f>
        <v>204356.51293</v>
      </c>
      <c r="J305" s="314">
        <f>I305-(125000+42207+2400000+43844834.06)/1000*$I$5</f>
        <v>157944.47187000001</v>
      </c>
      <c r="K305" s="315" t="s">
        <v>2418</v>
      </c>
      <c r="L305" s="303"/>
    </row>
    <row r="306" spans="1:12" s="281" customFormat="1" ht="72" x14ac:dyDescent="0.2">
      <c r="A306" s="302"/>
      <c r="B306" s="300" t="s">
        <v>2709</v>
      </c>
      <c r="C306" s="364" t="s">
        <v>2432</v>
      </c>
      <c r="D306" s="315" t="s">
        <v>2416</v>
      </c>
      <c r="E306" s="322" t="s">
        <v>2433</v>
      </c>
      <c r="F306" s="315" t="s">
        <v>2431</v>
      </c>
      <c r="G306" s="302" t="s">
        <v>1737</v>
      </c>
      <c r="H306" s="346" t="s">
        <v>1527</v>
      </c>
      <c r="I306" s="314">
        <f>(92796.61)/1000*$I$5</f>
        <v>92.796610000000001</v>
      </c>
      <c r="J306" s="314">
        <f>I306-(0)/1000*$I$5</f>
        <v>92.796610000000001</v>
      </c>
      <c r="K306" s="315" t="s">
        <v>2422</v>
      </c>
      <c r="L306" s="303"/>
    </row>
    <row r="307" spans="1:12" s="281" customFormat="1" ht="58.5" customHeight="1" x14ac:dyDescent="0.2">
      <c r="A307" s="302"/>
      <c r="B307" s="277" t="s">
        <v>2710</v>
      </c>
      <c r="C307" s="632" t="s">
        <v>2075</v>
      </c>
      <c r="D307" s="315" t="s">
        <v>2086</v>
      </c>
      <c r="E307" s="322" t="s">
        <v>2079</v>
      </c>
      <c r="F307" s="315" t="s">
        <v>2076</v>
      </c>
      <c r="G307" s="302" t="s">
        <v>20</v>
      </c>
      <c r="H307" s="302" t="s">
        <v>638</v>
      </c>
      <c r="I307" s="314">
        <f>(48893322)/1000*$I$5</f>
        <v>48893.322</v>
      </c>
      <c r="J307" s="314">
        <f>I307-(9582012+891342+10082600)/1000*$I$5</f>
        <v>28337.367999999999</v>
      </c>
      <c r="K307" s="315" t="s">
        <v>2078</v>
      </c>
      <c r="L307" s="303"/>
    </row>
    <row r="308" spans="1:12" s="281" customFormat="1" ht="60" x14ac:dyDescent="0.2">
      <c r="A308" s="302"/>
      <c r="B308" s="277" t="s">
        <v>2711</v>
      </c>
      <c r="C308" s="634"/>
      <c r="D308" s="629" t="s">
        <v>2077</v>
      </c>
      <c r="E308" s="322" t="s">
        <v>2114</v>
      </c>
      <c r="F308" s="315" t="s">
        <v>2115</v>
      </c>
      <c r="G308" s="302" t="s">
        <v>1526</v>
      </c>
      <c r="H308" s="302" t="s">
        <v>1636</v>
      </c>
      <c r="I308" s="314">
        <f>(170615)/1000*$I$5</f>
        <v>170.61500000000001</v>
      </c>
      <c r="J308" s="314">
        <f>I308-(143096)/1000*$I$5</f>
        <v>27.519000000000005</v>
      </c>
      <c r="K308" s="315" t="s">
        <v>2534</v>
      </c>
      <c r="L308" s="303"/>
    </row>
    <row r="309" spans="1:12" s="281" customFormat="1" ht="48" x14ac:dyDescent="0.2">
      <c r="A309" s="302"/>
      <c r="B309" s="277" t="s">
        <v>2712</v>
      </c>
      <c r="C309" s="634"/>
      <c r="D309" s="630"/>
      <c r="E309" s="322" t="s">
        <v>2081</v>
      </c>
      <c r="F309" s="315" t="s">
        <v>2080</v>
      </c>
      <c r="G309" s="302" t="s">
        <v>1677</v>
      </c>
      <c r="H309" s="302" t="s">
        <v>1586</v>
      </c>
      <c r="I309" s="314">
        <f>(163186)/1000*$I$5</f>
        <v>163.18600000000001</v>
      </c>
      <c r="J309" s="314">
        <f>I309-(0/1000*$I$5)</f>
        <v>163.18600000000001</v>
      </c>
      <c r="K309" s="315" t="s">
        <v>2535</v>
      </c>
      <c r="L309" s="303"/>
    </row>
    <row r="310" spans="1:12" s="281" customFormat="1" ht="48" x14ac:dyDescent="0.2">
      <c r="A310" s="302"/>
      <c r="B310" s="277" t="s">
        <v>2713</v>
      </c>
      <c r="C310" s="634"/>
      <c r="D310" s="630"/>
      <c r="E310" s="322" t="s">
        <v>2083</v>
      </c>
      <c r="F310" s="315" t="s">
        <v>2082</v>
      </c>
      <c r="G310" s="302" t="s">
        <v>872</v>
      </c>
      <c r="H310" s="302" t="s">
        <v>1586</v>
      </c>
      <c r="I310" s="314">
        <f>(252542)/1000*$I$5</f>
        <v>252.542</v>
      </c>
      <c r="J310" s="314">
        <f>I310-(0/1000*$I$5)</f>
        <v>252.542</v>
      </c>
      <c r="K310" s="315" t="s">
        <v>2534</v>
      </c>
      <c r="L310" s="303"/>
    </row>
    <row r="311" spans="1:12" s="281" customFormat="1" ht="48" x14ac:dyDescent="0.2">
      <c r="A311" s="302"/>
      <c r="B311" s="277" t="s">
        <v>2714</v>
      </c>
      <c r="C311" s="633"/>
      <c r="D311" s="630"/>
      <c r="E311" s="322" t="s">
        <v>2084</v>
      </c>
      <c r="F311" s="315" t="s">
        <v>2082</v>
      </c>
      <c r="G311" s="302" t="s">
        <v>1579</v>
      </c>
      <c r="H311" s="302" t="s">
        <v>1520</v>
      </c>
      <c r="I311" s="314">
        <f>(200000)/1000*$I$5</f>
        <v>200</v>
      </c>
      <c r="J311" s="314">
        <f>I311-(0/1000*$I$5)</f>
        <v>200</v>
      </c>
      <c r="K311" s="315" t="s">
        <v>2534</v>
      </c>
      <c r="L311" s="303"/>
    </row>
    <row r="312" spans="1:12" s="281" customFormat="1" ht="57.75" customHeight="1" x14ac:dyDescent="0.2">
      <c r="A312" s="302"/>
      <c r="B312" s="300" t="s">
        <v>2715</v>
      </c>
      <c r="C312" s="364" t="s">
        <v>2533</v>
      </c>
      <c r="D312" s="631"/>
      <c r="E312" s="322" t="s">
        <v>2109</v>
      </c>
      <c r="F312" s="315" t="s">
        <v>2532</v>
      </c>
      <c r="G312" s="302" t="s">
        <v>872</v>
      </c>
      <c r="H312" s="302" t="s">
        <v>1944</v>
      </c>
      <c r="I312" s="314">
        <f>(4859152)/1000*$I$5</f>
        <v>4859.152</v>
      </c>
      <c r="J312" s="314">
        <f>I312-(671500+59322+508474)/1000*$I$5</f>
        <v>3619.8559999999998</v>
      </c>
      <c r="K312" s="315" t="s">
        <v>2531</v>
      </c>
      <c r="L312" s="345"/>
    </row>
    <row r="313" spans="1:12" s="281" customFormat="1" ht="258" customHeight="1" x14ac:dyDescent="0.2">
      <c r="A313" s="302"/>
      <c r="B313" s="277" t="s">
        <v>2716</v>
      </c>
      <c r="C313" s="364" t="s">
        <v>2388</v>
      </c>
      <c r="D313" s="315" t="s">
        <v>2386</v>
      </c>
      <c r="E313" s="322" t="s">
        <v>2389</v>
      </c>
      <c r="F313" s="315" t="s">
        <v>2387</v>
      </c>
      <c r="G313" s="302" t="s">
        <v>1579</v>
      </c>
      <c r="H313" s="302" t="s">
        <v>1614</v>
      </c>
      <c r="I313" s="314">
        <f>(40184996+21073300)/1000*$I$5</f>
        <v>61258.296000000002</v>
      </c>
      <c r="J313" s="314">
        <f>I313-(654178+339582+750000+14364996+3661200+750000+350000+3457288)/1000*$I$5</f>
        <v>36931.052000000003</v>
      </c>
      <c r="K313" s="315" t="s">
        <v>2530</v>
      </c>
      <c r="L313" s="345"/>
    </row>
    <row r="314" spans="1:12" s="281" customFormat="1" ht="84" x14ac:dyDescent="0.2">
      <c r="A314" s="302"/>
      <c r="B314" s="300" t="s">
        <v>2717</v>
      </c>
      <c r="C314" s="364" t="s">
        <v>2536</v>
      </c>
      <c r="D314" s="315" t="s">
        <v>2537</v>
      </c>
      <c r="E314" s="322"/>
      <c r="F314" s="315" t="s">
        <v>2528</v>
      </c>
      <c r="G314" s="302" t="s">
        <v>1526</v>
      </c>
      <c r="H314" s="346" t="s">
        <v>1636</v>
      </c>
      <c r="I314" s="314">
        <f>(800000)/1000*$I$5</f>
        <v>800</v>
      </c>
      <c r="J314" s="314">
        <f>I314-(0)/1000*$I$5</f>
        <v>800</v>
      </c>
      <c r="K314" s="315" t="s">
        <v>2529</v>
      </c>
      <c r="L314" s="303"/>
    </row>
    <row r="315" spans="1:12" s="281" customFormat="1" ht="120" x14ac:dyDescent="0.2">
      <c r="A315" s="302"/>
      <c r="B315" s="277" t="s">
        <v>2718</v>
      </c>
      <c r="C315" s="364" t="s">
        <v>2212</v>
      </c>
      <c r="D315" s="315" t="s">
        <v>2205</v>
      </c>
      <c r="E315" s="322" t="s">
        <v>2206</v>
      </c>
      <c r="F315" s="315" t="s">
        <v>2207</v>
      </c>
      <c r="G315" s="302" t="s">
        <v>17</v>
      </c>
      <c r="H315" s="302" t="s">
        <v>598</v>
      </c>
      <c r="I315" s="314">
        <f>(2975092)/1000*$I$5</f>
        <v>2975.0920000000001</v>
      </c>
      <c r="J315" s="314">
        <f>I315-(0)/1000*$I$5</f>
        <v>2975.0920000000001</v>
      </c>
      <c r="K315" s="315" t="s">
        <v>2208</v>
      </c>
      <c r="L315" s="303"/>
    </row>
    <row r="316" spans="1:12" s="281" customFormat="1" ht="108" x14ac:dyDescent="0.2">
      <c r="A316" s="302"/>
      <c r="B316" s="277" t="s">
        <v>2719</v>
      </c>
      <c r="C316" s="364" t="s">
        <v>2171</v>
      </c>
      <c r="D316" s="315" t="s">
        <v>2173</v>
      </c>
      <c r="E316" s="322" t="s">
        <v>2174</v>
      </c>
      <c r="F316" s="315" t="s">
        <v>2175</v>
      </c>
      <c r="G316" s="302" t="s">
        <v>1554</v>
      </c>
      <c r="H316" s="302" t="s">
        <v>1591</v>
      </c>
      <c r="I316" s="314">
        <f>(4555372)/1000*$I$5</f>
        <v>4555.3720000000003</v>
      </c>
      <c r="J316" s="314">
        <f>I316-(2000000+638467)/1000*$I$5</f>
        <v>1916.9050000000002</v>
      </c>
      <c r="K316" s="315" t="s">
        <v>2176</v>
      </c>
      <c r="L316" s="303"/>
    </row>
    <row r="317" spans="1:12" s="281" customFormat="1" ht="120" x14ac:dyDescent="0.2">
      <c r="A317" s="302"/>
      <c r="B317" s="277" t="s">
        <v>2720</v>
      </c>
      <c r="C317" s="364" t="s">
        <v>2172</v>
      </c>
      <c r="D317" s="315"/>
      <c r="E317" s="322" t="s">
        <v>2177</v>
      </c>
      <c r="F317" s="315" t="s">
        <v>2178</v>
      </c>
      <c r="G317" s="302" t="s">
        <v>15</v>
      </c>
      <c r="H317" s="302" t="s">
        <v>1830</v>
      </c>
      <c r="I317" s="314">
        <f>(4255098)/1000*$I$5</f>
        <v>4255.098</v>
      </c>
      <c r="J317" s="314">
        <f>I317-(0)/1000*$I$5</f>
        <v>4255.098</v>
      </c>
      <c r="K317" s="315" t="s">
        <v>2181</v>
      </c>
      <c r="L317" s="303"/>
    </row>
    <row r="318" spans="1:12" s="281" customFormat="1" ht="108" x14ac:dyDescent="0.2">
      <c r="A318" s="302"/>
      <c r="B318" s="277" t="s">
        <v>2721</v>
      </c>
      <c r="C318" s="364" t="s">
        <v>2179</v>
      </c>
      <c r="D318" s="315"/>
      <c r="E318" s="322" t="s">
        <v>2183</v>
      </c>
      <c r="F318" s="315" t="s">
        <v>2180</v>
      </c>
      <c r="G318" s="302" t="s">
        <v>1635</v>
      </c>
      <c r="H318" s="302" t="s">
        <v>1526</v>
      </c>
      <c r="I318" s="314">
        <f>(4211179)/1000*$I$5</f>
        <v>4211.1790000000001</v>
      </c>
      <c r="J318" s="314">
        <f>I318-(0)/1000*$I$5</f>
        <v>4211.1790000000001</v>
      </c>
      <c r="K318" s="315" t="s">
        <v>2182</v>
      </c>
      <c r="L318" s="303"/>
    </row>
    <row r="319" spans="1:12" s="281" customFormat="1" ht="96" x14ac:dyDescent="0.2">
      <c r="A319" s="302"/>
      <c r="B319" s="277" t="s">
        <v>2722</v>
      </c>
      <c r="C319" s="364" t="s">
        <v>2508</v>
      </c>
      <c r="D319" s="315" t="s">
        <v>2509</v>
      </c>
      <c r="E319" s="322" t="s">
        <v>2510</v>
      </c>
      <c r="F319" s="315" t="s">
        <v>2507</v>
      </c>
      <c r="G319" s="302" t="s">
        <v>1875</v>
      </c>
      <c r="H319" s="302" t="s">
        <v>1526</v>
      </c>
      <c r="I319" s="331">
        <f>(1271186)/1000*$I$5</f>
        <v>1271.1859999999999</v>
      </c>
      <c r="J319" s="331">
        <f t="shared" ref="J319:J327" si="11">I319-(0/1000*$I$5)</f>
        <v>1271.1859999999999</v>
      </c>
      <c r="K319" s="315" t="s">
        <v>2511</v>
      </c>
      <c r="L319" s="303"/>
    </row>
    <row r="320" spans="1:12" s="281" customFormat="1" ht="96" x14ac:dyDescent="0.2">
      <c r="A320" s="302"/>
      <c r="B320" s="277" t="s">
        <v>2723</v>
      </c>
      <c r="C320" s="632" t="s">
        <v>2512</v>
      </c>
      <c r="D320" s="315"/>
      <c r="E320" s="322" t="s">
        <v>2513</v>
      </c>
      <c r="F320" s="315" t="s">
        <v>2514</v>
      </c>
      <c r="G320" s="302" t="s">
        <v>1526</v>
      </c>
      <c r="H320" s="302" t="s">
        <v>1636</v>
      </c>
      <c r="I320" s="331">
        <f>(500000)/1000*$I$5</f>
        <v>500</v>
      </c>
      <c r="J320" s="331">
        <f t="shared" si="11"/>
        <v>500</v>
      </c>
      <c r="K320" s="315" t="s">
        <v>2517</v>
      </c>
      <c r="L320" s="303"/>
    </row>
    <row r="321" spans="1:12" s="281" customFormat="1" ht="108" x14ac:dyDescent="0.2">
      <c r="A321" s="302"/>
      <c r="B321" s="277" t="s">
        <v>2724</v>
      </c>
      <c r="C321" s="633"/>
      <c r="D321" s="315"/>
      <c r="E321" s="322" t="s">
        <v>2515</v>
      </c>
      <c r="F321" s="315" t="s">
        <v>2516</v>
      </c>
      <c r="G321" s="302" t="s">
        <v>1526</v>
      </c>
      <c r="H321" s="302" t="s">
        <v>1636</v>
      </c>
      <c r="I321" s="331">
        <f>(500000)/1000*$I$5</f>
        <v>500</v>
      </c>
      <c r="J321" s="331">
        <f t="shared" si="11"/>
        <v>500</v>
      </c>
      <c r="K321" s="315" t="s">
        <v>2517</v>
      </c>
      <c r="L321" s="303"/>
    </row>
    <row r="322" spans="1:12" s="281" customFormat="1" ht="94.5" customHeight="1" x14ac:dyDescent="0.2">
      <c r="A322" s="332"/>
      <c r="B322" s="277" t="s">
        <v>2725</v>
      </c>
      <c r="C322" s="333" t="s">
        <v>2124</v>
      </c>
      <c r="D322" s="334" t="s">
        <v>2125</v>
      </c>
      <c r="E322" s="335" t="s">
        <v>2126</v>
      </c>
      <c r="F322" s="334" t="s">
        <v>2128</v>
      </c>
      <c r="G322" s="332" t="s">
        <v>18</v>
      </c>
      <c r="H322" s="332" t="s">
        <v>1559</v>
      </c>
      <c r="I322" s="331">
        <f>(6864194)/1000*$I$5</f>
        <v>6864.1940000000004</v>
      </c>
      <c r="J322" s="331">
        <f t="shared" si="11"/>
        <v>6864.1940000000004</v>
      </c>
      <c r="K322" s="334" t="s">
        <v>2127</v>
      </c>
      <c r="L322" s="303"/>
    </row>
    <row r="323" spans="1:12" s="281" customFormat="1" ht="60" x14ac:dyDescent="0.2">
      <c r="A323" s="302"/>
      <c r="B323" s="294" t="s">
        <v>2726</v>
      </c>
      <c r="C323" s="632" t="s">
        <v>2085</v>
      </c>
      <c r="D323" s="629" t="s">
        <v>2086</v>
      </c>
      <c r="E323" s="322" t="s">
        <v>2092</v>
      </c>
      <c r="F323" s="315" t="s">
        <v>2087</v>
      </c>
      <c r="G323" s="302" t="s">
        <v>1554</v>
      </c>
      <c r="H323" s="302" t="s">
        <v>613</v>
      </c>
      <c r="I323" s="314">
        <f>(15084745)/1000*$I$5</f>
        <v>15084.745000000001</v>
      </c>
      <c r="J323" s="314">
        <f t="shared" si="11"/>
        <v>15084.745000000001</v>
      </c>
      <c r="K323" s="315" t="s">
        <v>2100</v>
      </c>
      <c r="L323" s="315" t="s">
        <v>2099</v>
      </c>
    </row>
    <row r="324" spans="1:12" s="330" customFormat="1" ht="60" x14ac:dyDescent="0.2">
      <c r="A324" s="332"/>
      <c r="B324" s="277" t="s">
        <v>2727</v>
      </c>
      <c r="C324" s="634"/>
      <c r="D324" s="630"/>
      <c r="E324" s="335" t="s">
        <v>2095</v>
      </c>
      <c r="F324" s="334" t="s">
        <v>2088</v>
      </c>
      <c r="G324" s="332" t="s">
        <v>1554</v>
      </c>
      <c r="H324" s="332" t="s">
        <v>613</v>
      </c>
      <c r="I324" s="331">
        <f>(5508474)/1000*$I$5</f>
        <v>5508.4740000000002</v>
      </c>
      <c r="J324" s="331">
        <f t="shared" si="11"/>
        <v>5508.4740000000002</v>
      </c>
      <c r="K324" s="334" t="s">
        <v>2100</v>
      </c>
      <c r="L324" s="336"/>
    </row>
    <row r="325" spans="1:12" s="330" customFormat="1" ht="60" x14ac:dyDescent="0.2">
      <c r="A325" s="332"/>
      <c r="B325" s="277" t="s">
        <v>2728</v>
      </c>
      <c r="C325" s="634"/>
      <c r="D325" s="630"/>
      <c r="E325" s="335" t="s">
        <v>2096</v>
      </c>
      <c r="F325" s="334" t="s">
        <v>2089</v>
      </c>
      <c r="G325" s="332" t="s">
        <v>1554</v>
      </c>
      <c r="H325" s="332" t="s">
        <v>613</v>
      </c>
      <c r="I325" s="331">
        <f>(2889831)/1000*$I$5</f>
        <v>2889.8310000000001</v>
      </c>
      <c r="J325" s="331">
        <f t="shared" si="11"/>
        <v>2889.8310000000001</v>
      </c>
      <c r="K325" s="334" t="s">
        <v>2100</v>
      </c>
      <c r="L325" s="336"/>
    </row>
    <row r="326" spans="1:12" s="330" customFormat="1" ht="72" x14ac:dyDescent="0.2">
      <c r="A326" s="332"/>
      <c r="B326" s="277" t="s">
        <v>2729</v>
      </c>
      <c r="C326" s="634"/>
      <c r="D326" s="630"/>
      <c r="E326" s="335" t="s">
        <v>2097</v>
      </c>
      <c r="F326" s="334" t="s">
        <v>2090</v>
      </c>
      <c r="G326" s="332" t="s">
        <v>1554</v>
      </c>
      <c r="H326" s="332" t="s">
        <v>613</v>
      </c>
      <c r="I326" s="331">
        <f>(3686441)/1000*$I$5</f>
        <v>3686.4409999999998</v>
      </c>
      <c r="J326" s="331">
        <f t="shared" si="11"/>
        <v>3686.4409999999998</v>
      </c>
      <c r="K326" s="334" t="s">
        <v>2100</v>
      </c>
      <c r="L326" s="336"/>
    </row>
    <row r="327" spans="1:12" s="330" customFormat="1" ht="60" x14ac:dyDescent="0.2">
      <c r="A327" s="332"/>
      <c r="B327" s="277" t="s">
        <v>2730</v>
      </c>
      <c r="C327" s="634"/>
      <c r="D327" s="630"/>
      <c r="E327" s="335" t="s">
        <v>2098</v>
      </c>
      <c r="F327" s="334" t="s">
        <v>2091</v>
      </c>
      <c r="G327" s="332" t="s">
        <v>1554</v>
      </c>
      <c r="H327" s="332" t="s">
        <v>613</v>
      </c>
      <c r="I327" s="331">
        <f>(13983051)/1000*$I$5</f>
        <v>13983.050999999999</v>
      </c>
      <c r="J327" s="331">
        <f t="shared" si="11"/>
        <v>13983.050999999999</v>
      </c>
      <c r="K327" s="334" t="s">
        <v>2100</v>
      </c>
      <c r="L327" s="336"/>
    </row>
    <row r="328" spans="1:12" s="330" customFormat="1" ht="60" x14ac:dyDescent="0.2">
      <c r="A328" s="332"/>
      <c r="B328" s="277" t="s">
        <v>2731</v>
      </c>
      <c r="C328" s="634"/>
      <c r="D328" s="630"/>
      <c r="E328" s="335" t="s">
        <v>2094</v>
      </c>
      <c r="F328" s="334" t="s">
        <v>2093</v>
      </c>
      <c r="G328" s="332" t="s">
        <v>1677</v>
      </c>
      <c r="H328" s="332" t="s">
        <v>1522</v>
      </c>
      <c r="I328" s="331">
        <f>(20738831)/1000*$I$5</f>
        <v>20738.830999999998</v>
      </c>
      <c r="J328" s="331">
        <f>I328-(743174/1000*$I$5)</f>
        <v>19995.656999999999</v>
      </c>
      <c r="K328" s="334" t="s">
        <v>2100</v>
      </c>
      <c r="L328" s="336"/>
    </row>
    <row r="329" spans="1:12" s="330" customFormat="1" ht="60" x14ac:dyDescent="0.2">
      <c r="A329" s="332"/>
      <c r="B329" s="277" t="s">
        <v>2732</v>
      </c>
      <c r="C329" s="634"/>
      <c r="D329" s="630"/>
      <c r="E329" s="335" t="s">
        <v>2102</v>
      </c>
      <c r="F329" s="334" t="s">
        <v>2101</v>
      </c>
      <c r="G329" s="332" t="s">
        <v>1636</v>
      </c>
      <c r="H329" s="332" t="s">
        <v>1643</v>
      </c>
      <c r="I329" s="331">
        <f>(357374)/1000*$I$5</f>
        <v>357.37400000000002</v>
      </c>
      <c r="J329" s="331">
        <f>I329-(0/1000*$I$5)</f>
        <v>357.37400000000002</v>
      </c>
      <c r="K329" s="334" t="s">
        <v>2103</v>
      </c>
      <c r="L329" s="336"/>
    </row>
    <row r="330" spans="1:12" s="330" customFormat="1" ht="60" x14ac:dyDescent="0.2">
      <c r="A330" s="332"/>
      <c r="B330" s="277" t="s">
        <v>2733</v>
      </c>
      <c r="C330" s="634"/>
      <c r="D330" s="630"/>
      <c r="E330" s="335" t="s">
        <v>2106</v>
      </c>
      <c r="F330" s="334" t="s">
        <v>2101</v>
      </c>
      <c r="G330" s="332" t="s">
        <v>1943</v>
      </c>
      <c r="H330" s="332" t="s">
        <v>2104</v>
      </c>
      <c r="I330" s="331">
        <f>(355518)/1000*$I$5</f>
        <v>355.51799999999997</v>
      </c>
      <c r="J330" s="331">
        <f>I330-(0/1000*$I$5)</f>
        <v>355.51799999999997</v>
      </c>
      <c r="K330" s="334" t="s">
        <v>2105</v>
      </c>
      <c r="L330" s="336"/>
    </row>
    <row r="331" spans="1:12" s="330" customFormat="1" ht="96" x14ac:dyDescent="0.2">
      <c r="A331" s="332"/>
      <c r="B331" s="277" t="s">
        <v>2734</v>
      </c>
      <c r="C331" s="634"/>
      <c r="D331" s="630"/>
      <c r="E331" s="335" t="s">
        <v>2113</v>
      </c>
      <c r="F331" s="334" t="s">
        <v>2107</v>
      </c>
      <c r="G331" s="332" t="s">
        <v>1579</v>
      </c>
      <c r="H331" s="332" t="s">
        <v>1575</v>
      </c>
      <c r="I331" s="331">
        <f>(389830.51)/1000*$I$5</f>
        <v>389.83051</v>
      </c>
      <c r="J331" s="331">
        <f>I331-(80000/1000*$I$5)</f>
        <v>309.83051</v>
      </c>
      <c r="K331" s="334" t="s">
        <v>2437</v>
      </c>
      <c r="L331" s="336"/>
    </row>
    <row r="332" spans="1:12" s="330" customFormat="1" ht="72" x14ac:dyDescent="0.2">
      <c r="A332" s="332"/>
      <c r="B332" s="277" t="s">
        <v>2735</v>
      </c>
      <c r="C332" s="634"/>
      <c r="D332" s="630"/>
      <c r="E332" s="335" t="s">
        <v>2112</v>
      </c>
      <c r="F332" s="334" t="s">
        <v>2108</v>
      </c>
      <c r="G332" s="332" t="s">
        <v>1579</v>
      </c>
      <c r="H332" s="332" t="s">
        <v>1575</v>
      </c>
      <c r="I332" s="331">
        <f>(419492)/1000*$I$5</f>
        <v>419.49200000000002</v>
      </c>
      <c r="J332" s="331">
        <f>I332-(70000/1000*$I$5)</f>
        <v>349.49200000000002</v>
      </c>
      <c r="K332" s="334" t="s">
        <v>2436</v>
      </c>
      <c r="L332" s="336"/>
    </row>
    <row r="333" spans="1:12" s="330" customFormat="1" ht="72" x14ac:dyDescent="0.2">
      <c r="A333" s="332"/>
      <c r="B333" s="277" t="s">
        <v>2736</v>
      </c>
      <c r="C333" s="633"/>
      <c r="D333" s="631"/>
      <c r="E333" s="335" t="s">
        <v>2111</v>
      </c>
      <c r="F333" s="334" t="s">
        <v>2110</v>
      </c>
      <c r="G333" s="332" t="s">
        <v>1614</v>
      </c>
      <c r="H333" s="332" t="s">
        <v>1875</v>
      </c>
      <c r="I333" s="331">
        <f>(422034)/1000*$I$5</f>
        <v>422.03399999999999</v>
      </c>
      <c r="J333" s="331">
        <f>I333-(155000/1000*$I$5)</f>
        <v>267.03399999999999</v>
      </c>
      <c r="K333" s="334" t="s">
        <v>2436</v>
      </c>
      <c r="L333" s="336"/>
    </row>
    <row r="334" spans="1:12" s="330" customFormat="1" ht="93.75" customHeight="1" x14ac:dyDescent="0.2">
      <c r="A334" s="332"/>
      <c r="B334" s="300" t="s">
        <v>2737</v>
      </c>
      <c r="C334" s="333" t="s">
        <v>2957</v>
      </c>
      <c r="D334" s="334" t="s">
        <v>2958</v>
      </c>
      <c r="E334" s="335" t="s">
        <v>2435</v>
      </c>
      <c r="F334" s="334" t="s">
        <v>2434</v>
      </c>
      <c r="G334" s="332" t="s">
        <v>638</v>
      </c>
      <c r="H334" s="369" t="s">
        <v>2439</v>
      </c>
      <c r="I334" s="331">
        <f>(431110535.7)/1000*$I$5</f>
        <v>431110.53570000001</v>
      </c>
      <c r="J334" s="331">
        <f>I334-(82924900/1000*$I$5)</f>
        <v>348185.63569999998</v>
      </c>
      <c r="K334" s="347" t="s">
        <v>2438</v>
      </c>
      <c r="L334" s="336"/>
    </row>
    <row r="335" spans="1:12" s="330" customFormat="1" ht="72" x14ac:dyDescent="0.2">
      <c r="A335" s="332"/>
      <c r="B335" s="300" t="s">
        <v>2241</v>
      </c>
      <c r="C335" s="333" t="s">
        <v>2738</v>
      </c>
      <c r="D335" s="334" t="s">
        <v>2334</v>
      </c>
      <c r="E335" s="335" t="s">
        <v>2333</v>
      </c>
      <c r="F335" s="334" t="s">
        <v>2332</v>
      </c>
      <c r="G335" s="332" t="s">
        <v>613</v>
      </c>
      <c r="H335" s="332" t="s">
        <v>1522</v>
      </c>
      <c r="I335" s="331">
        <f>(170384)/1000*$I$5</f>
        <v>170.38399999999999</v>
      </c>
      <c r="J335" s="331">
        <f>I335-(57177/1000*$I$5)</f>
        <v>113.20699999999999</v>
      </c>
      <c r="K335" s="347" t="s">
        <v>2331</v>
      </c>
      <c r="L335" s="336"/>
    </row>
    <row r="336" spans="1:12" s="330" customFormat="1" ht="96" x14ac:dyDescent="0.2">
      <c r="A336" s="332"/>
      <c r="B336" s="300" t="s">
        <v>2739</v>
      </c>
      <c r="C336" s="333" t="s">
        <v>2335</v>
      </c>
      <c r="D336" s="334" t="s">
        <v>2337</v>
      </c>
      <c r="E336" s="335" t="s">
        <v>2338</v>
      </c>
      <c r="F336" s="334" t="s">
        <v>2336</v>
      </c>
      <c r="G336" s="332" t="s">
        <v>1721</v>
      </c>
      <c r="H336" s="332" t="s">
        <v>1677</v>
      </c>
      <c r="I336" s="331">
        <f>(935511.27)/1000*$I$5</f>
        <v>935.51126999999997</v>
      </c>
      <c r="J336" s="331">
        <f>I336-(57177/1000*$I$5)</f>
        <v>878.33426999999995</v>
      </c>
      <c r="K336" s="347" t="s">
        <v>2339</v>
      </c>
      <c r="L336" s="336"/>
    </row>
    <row r="337" spans="1:12" s="330" customFormat="1" ht="120" customHeight="1" x14ac:dyDescent="0.2">
      <c r="A337" s="332"/>
      <c r="B337" s="277" t="s">
        <v>2740</v>
      </c>
      <c r="C337" s="636" t="s">
        <v>2227</v>
      </c>
      <c r="D337" s="639" t="s">
        <v>2226</v>
      </c>
      <c r="E337" s="335" t="s">
        <v>2223</v>
      </c>
      <c r="F337" s="334" t="s">
        <v>2224</v>
      </c>
      <c r="G337" s="332" t="s">
        <v>598</v>
      </c>
      <c r="H337" s="332" t="s">
        <v>1559</v>
      </c>
      <c r="I337" s="331">
        <f>(508475)/1000*$I$5</f>
        <v>508.47500000000002</v>
      </c>
      <c r="J337" s="331">
        <f>I337-(0/1000*$I$5)</f>
        <v>508.47500000000002</v>
      </c>
      <c r="K337" s="347" t="s">
        <v>2225</v>
      </c>
      <c r="L337" s="336"/>
    </row>
    <row r="338" spans="1:12" s="330" customFormat="1" ht="36" x14ac:dyDescent="0.2">
      <c r="A338" s="332"/>
      <c r="B338" s="277" t="s">
        <v>2741</v>
      </c>
      <c r="C338" s="637"/>
      <c r="D338" s="640"/>
      <c r="E338" s="335" t="s">
        <v>2228</v>
      </c>
      <c r="F338" s="334" t="s">
        <v>2229</v>
      </c>
      <c r="G338" s="332" t="s">
        <v>1586</v>
      </c>
      <c r="H338" s="332" t="s">
        <v>1520</v>
      </c>
      <c r="I338" s="331">
        <f>(662605.23)/1000*$I$5</f>
        <v>662.60523000000001</v>
      </c>
      <c r="J338" s="331">
        <f>I338-(0/1000*$I$5)</f>
        <v>662.60523000000001</v>
      </c>
      <c r="K338" s="347" t="s">
        <v>2230</v>
      </c>
      <c r="L338" s="336"/>
    </row>
    <row r="339" spans="1:12" s="330" customFormat="1" ht="36" x14ac:dyDescent="0.2">
      <c r="A339" s="332"/>
      <c r="B339" s="302" t="s">
        <v>2742</v>
      </c>
      <c r="C339" s="638"/>
      <c r="D339" s="641"/>
      <c r="E339" s="335" t="s">
        <v>2231</v>
      </c>
      <c r="F339" s="334" t="s">
        <v>2232</v>
      </c>
      <c r="G339" s="332" t="s">
        <v>1520</v>
      </c>
      <c r="H339" s="332" t="s">
        <v>1520</v>
      </c>
      <c r="I339" s="331">
        <f>(45985)/1000*$I$5</f>
        <v>45.984999999999999</v>
      </c>
      <c r="J339" s="331">
        <f>I339-(0/1000*$I$5)</f>
        <v>45.984999999999999</v>
      </c>
      <c r="K339" s="347" t="s">
        <v>2233</v>
      </c>
      <c r="L339" s="336"/>
    </row>
    <row r="340" spans="1:12" s="281" customFormat="1" ht="144" customHeight="1" x14ac:dyDescent="0.2">
      <c r="A340" s="302" t="s">
        <v>2241</v>
      </c>
      <c r="B340" s="277" t="s">
        <v>2743</v>
      </c>
      <c r="C340" s="364" t="s">
        <v>2240</v>
      </c>
      <c r="D340" s="629" t="s">
        <v>2242</v>
      </c>
      <c r="E340" s="322" t="s">
        <v>2243</v>
      </c>
      <c r="F340" s="315" t="s">
        <v>2244</v>
      </c>
      <c r="G340" s="302" t="s">
        <v>21</v>
      </c>
      <c r="H340" s="302" t="s">
        <v>2245</v>
      </c>
      <c r="I340" s="314"/>
      <c r="J340" s="314"/>
      <c r="K340" s="341" t="s">
        <v>2263</v>
      </c>
      <c r="L340" s="303"/>
    </row>
    <row r="341" spans="1:12" s="281" customFormat="1" ht="60" x14ac:dyDescent="0.2">
      <c r="A341" s="302" t="s">
        <v>2246</v>
      </c>
      <c r="B341" s="373" t="s">
        <v>2744</v>
      </c>
      <c r="C341" s="381" t="s">
        <v>2247</v>
      </c>
      <c r="D341" s="642"/>
      <c r="E341" s="646"/>
      <c r="F341" s="315" t="s">
        <v>2248</v>
      </c>
      <c r="G341" s="302" t="s">
        <v>531</v>
      </c>
      <c r="H341" s="302" t="s">
        <v>2245</v>
      </c>
      <c r="I341" s="314">
        <f>(82845259)/1000*$I$5</f>
        <v>82845.259000000005</v>
      </c>
      <c r="J341" s="314">
        <f>I341-(79465331/1000*$I$5)</f>
        <v>3379.9279999999999</v>
      </c>
      <c r="K341" s="341"/>
      <c r="L341" s="303"/>
    </row>
    <row r="342" spans="1:12" s="281" customFormat="1" ht="36" x14ac:dyDescent="0.2">
      <c r="A342" s="302"/>
      <c r="B342" s="373" t="s">
        <v>2745</v>
      </c>
      <c r="C342" s="381" t="s">
        <v>2249</v>
      </c>
      <c r="D342" s="642"/>
      <c r="E342" s="647"/>
      <c r="F342" s="315" t="s">
        <v>2250</v>
      </c>
      <c r="G342" s="302" t="s">
        <v>21</v>
      </c>
      <c r="H342" s="302" t="s">
        <v>1526</v>
      </c>
      <c r="I342" s="314">
        <f>(12567770)/1000*$I$5</f>
        <v>12567.77</v>
      </c>
      <c r="J342" s="314">
        <f>I342-(11977097/1000*$I$5)</f>
        <v>590.67300000000068</v>
      </c>
      <c r="K342" s="341"/>
      <c r="L342" s="303"/>
    </row>
    <row r="343" spans="1:12" s="281" customFormat="1" ht="48" x14ac:dyDescent="0.2">
      <c r="A343" s="302"/>
      <c r="B343" s="373" t="s">
        <v>2746</v>
      </c>
      <c r="C343" s="381" t="s">
        <v>2253</v>
      </c>
      <c r="D343" s="642"/>
      <c r="E343" s="647"/>
      <c r="F343" s="315" t="s">
        <v>2254</v>
      </c>
      <c r="G343" s="302" t="s">
        <v>21</v>
      </c>
      <c r="H343" s="302" t="s">
        <v>598</v>
      </c>
      <c r="I343" s="314">
        <f>(12687566)/1000*$I$5</f>
        <v>12687.566000000001</v>
      </c>
      <c r="J343" s="314">
        <f>I343-(12068660/1000*$I$5)</f>
        <v>618.90600000000086</v>
      </c>
      <c r="K343" s="341"/>
      <c r="L343" s="303"/>
    </row>
    <row r="344" spans="1:12" s="281" customFormat="1" ht="79.5" x14ac:dyDescent="0.2">
      <c r="A344" s="302"/>
      <c r="B344" s="373" t="s">
        <v>2747</v>
      </c>
      <c r="C344" s="381" t="s">
        <v>2251</v>
      </c>
      <c r="D344" s="642"/>
      <c r="E344" s="647"/>
      <c r="F344" s="315" t="s">
        <v>2252</v>
      </c>
      <c r="G344" s="302" t="s">
        <v>531</v>
      </c>
      <c r="H344" s="346" t="s">
        <v>2277</v>
      </c>
      <c r="I344" s="314">
        <f>(73180710)/1000*$I$5</f>
        <v>73180.710000000006</v>
      </c>
      <c r="J344" s="314">
        <f>I344-((1481855+400517+1258081+663878+69644+1997794+203664)/1000*$I$5)</f>
        <v>67105.277000000002</v>
      </c>
      <c r="K344" s="341"/>
      <c r="L344" s="303"/>
    </row>
    <row r="345" spans="1:12" s="281" customFormat="1" ht="79.5" x14ac:dyDescent="0.2">
      <c r="A345" s="302"/>
      <c r="B345" s="373" t="s">
        <v>2748</v>
      </c>
      <c r="C345" s="381" t="s">
        <v>2255</v>
      </c>
      <c r="D345" s="642"/>
      <c r="E345" s="647"/>
      <c r="F345" s="315" t="s">
        <v>2256</v>
      </c>
      <c r="G345" s="302" t="s">
        <v>18</v>
      </c>
      <c r="H345" s="346" t="s">
        <v>2278</v>
      </c>
      <c r="I345" s="314">
        <f>(65143415)/1000*$I$5</f>
        <v>65143.415000000001</v>
      </c>
      <c r="J345" s="314">
        <f>I345-((62140610)/1000*$I$5)</f>
        <v>3002.8050000000003</v>
      </c>
      <c r="K345" s="341"/>
      <c r="L345" s="303"/>
    </row>
    <row r="346" spans="1:12" s="281" customFormat="1" ht="48" x14ac:dyDescent="0.2">
      <c r="A346" s="302"/>
      <c r="B346" s="373" t="s">
        <v>2749</v>
      </c>
      <c r="C346" s="381" t="s">
        <v>2257</v>
      </c>
      <c r="D346" s="642"/>
      <c r="E346" s="647"/>
      <c r="F346" s="315" t="s">
        <v>2258</v>
      </c>
      <c r="G346" s="302" t="s">
        <v>20</v>
      </c>
      <c r="H346" s="302" t="s">
        <v>1643</v>
      </c>
      <c r="I346" s="314">
        <f>(46662642)/1000*$I$5</f>
        <v>46662.642</v>
      </c>
      <c r="J346" s="314">
        <f>I346-((33904315+3048264)/1000*$I$5)</f>
        <v>9710.0630000000019</v>
      </c>
      <c r="K346" s="341"/>
      <c r="L346" s="303"/>
    </row>
    <row r="347" spans="1:12" s="281" customFormat="1" ht="36" x14ac:dyDescent="0.2">
      <c r="A347" s="302"/>
      <c r="B347" s="373" t="s">
        <v>2750</v>
      </c>
      <c r="C347" s="381" t="s">
        <v>2259</v>
      </c>
      <c r="D347" s="642"/>
      <c r="E347" s="647"/>
      <c r="F347" s="315" t="s">
        <v>2260</v>
      </c>
      <c r="G347" s="302" t="s">
        <v>20</v>
      </c>
      <c r="H347" s="302" t="s">
        <v>598</v>
      </c>
      <c r="I347" s="314">
        <f>(7379055)/1000*$I$5</f>
        <v>7379.0550000000003</v>
      </c>
      <c r="J347" s="314">
        <f>I347-(6920126/1000*$I$5)</f>
        <v>458.92900000000009</v>
      </c>
      <c r="K347" s="341"/>
      <c r="L347" s="303"/>
    </row>
    <row r="348" spans="1:12" s="281" customFormat="1" ht="79.5" x14ac:dyDescent="0.2">
      <c r="A348" s="302"/>
      <c r="B348" s="373" t="s">
        <v>2751</v>
      </c>
      <c r="C348" s="381" t="s">
        <v>2266</v>
      </c>
      <c r="D348" s="642"/>
      <c r="E348" s="647"/>
      <c r="F348" s="315" t="s">
        <v>2264</v>
      </c>
      <c r="G348" s="302" t="s">
        <v>1554</v>
      </c>
      <c r="H348" s="346" t="s">
        <v>2279</v>
      </c>
      <c r="I348" s="314">
        <f>(67053300)/1000*$I$5</f>
        <v>67053.3</v>
      </c>
      <c r="J348" s="314">
        <f>I348-((24308074+4511530+17520852)/1000*$I$5)</f>
        <v>20712.844000000005</v>
      </c>
      <c r="K348" s="341"/>
      <c r="L348" s="303"/>
    </row>
    <row r="349" spans="1:12" s="281" customFormat="1" ht="48" x14ac:dyDescent="0.2">
      <c r="A349" s="302"/>
      <c r="B349" s="373" t="s">
        <v>2752</v>
      </c>
      <c r="C349" s="381" t="s">
        <v>2261</v>
      </c>
      <c r="D349" s="642"/>
      <c r="E349" s="647"/>
      <c r="F349" s="315" t="s">
        <v>2262</v>
      </c>
      <c r="G349" s="302" t="s">
        <v>613</v>
      </c>
      <c r="H349" s="302" t="s">
        <v>1575</v>
      </c>
      <c r="I349" s="314">
        <f>(42507919)/1000*$I$5</f>
        <v>42507.919000000002</v>
      </c>
      <c r="J349" s="314">
        <f>I349-(39915973/1000*$I$5)</f>
        <v>2591.9460000000036</v>
      </c>
      <c r="K349" s="341"/>
      <c r="L349" s="303"/>
    </row>
    <row r="350" spans="1:12" s="281" customFormat="1" ht="79.5" x14ac:dyDescent="0.2">
      <c r="A350" s="302"/>
      <c r="B350" s="373" t="s">
        <v>2753</v>
      </c>
      <c r="C350" s="381" t="s">
        <v>2265</v>
      </c>
      <c r="D350" s="642"/>
      <c r="E350" s="647"/>
      <c r="F350" s="315" t="s">
        <v>2267</v>
      </c>
      <c r="G350" s="302" t="s">
        <v>872</v>
      </c>
      <c r="H350" s="346" t="s">
        <v>2281</v>
      </c>
      <c r="I350" s="314">
        <f>(99002300)/1000*$I$5</f>
        <v>99002.3</v>
      </c>
      <c r="J350" s="314">
        <f>I350-((1807606+1406351+49714+1209210)/1000*$I$5)</f>
        <v>94529.419000000009</v>
      </c>
      <c r="K350" s="341"/>
      <c r="L350" s="303"/>
    </row>
    <row r="351" spans="1:12" s="281" customFormat="1" ht="48" x14ac:dyDescent="0.2">
      <c r="A351" s="302"/>
      <c r="B351" s="373" t="s">
        <v>2754</v>
      </c>
      <c r="C351" s="381" t="s">
        <v>2269</v>
      </c>
      <c r="D351" s="642"/>
      <c r="E351" s="647"/>
      <c r="F351" s="315" t="s">
        <v>2268</v>
      </c>
      <c r="G351" s="302" t="s">
        <v>1737</v>
      </c>
      <c r="H351" s="302" t="s">
        <v>1527</v>
      </c>
      <c r="I351" s="314">
        <f>(7986984)/1000*$I$5</f>
        <v>7986.9840000000004</v>
      </c>
      <c r="J351" s="314">
        <f>I351-(7694777/1000*$I$5)</f>
        <v>292.20700000000033</v>
      </c>
      <c r="K351" s="341"/>
      <c r="L351" s="303"/>
    </row>
    <row r="352" spans="1:12" s="281" customFormat="1" ht="48" x14ac:dyDescent="0.2">
      <c r="A352" s="302"/>
      <c r="B352" s="373" t="s">
        <v>2755</v>
      </c>
      <c r="C352" s="381" t="s">
        <v>2271</v>
      </c>
      <c r="D352" s="642"/>
      <c r="E352" s="647"/>
      <c r="F352" s="315" t="s">
        <v>2270</v>
      </c>
      <c r="G352" s="302" t="s">
        <v>1737</v>
      </c>
      <c r="H352" s="302" t="s">
        <v>1527</v>
      </c>
      <c r="I352" s="314">
        <f>(7149953)/1000*$I$5</f>
        <v>7149.9530000000004</v>
      </c>
      <c r="J352" s="314">
        <f>I352-(6888368/1000*$I$5)</f>
        <v>261.58500000000004</v>
      </c>
      <c r="K352" s="341"/>
      <c r="L352" s="303"/>
    </row>
    <row r="353" spans="1:13" s="281" customFormat="1" ht="79.5" x14ac:dyDescent="0.2">
      <c r="A353" s="302"/>
      <c r="B353" s="373" t="s">
        <v>2756</v>
      </c>
      <c r="C353" s="381" t="s">
        <v>2273</v>
      </c>
      <c r="D353" s="642"/>
      <c r="E353" s="647"/>
      <c r="F353" s="315" t="s">
        <v>2272</v>
      </c>
      <c r="G353" s="302" t="s">
        <v>1737</v>
      </c>
      <c r="H353" s="346" t="s">
        <v>2282</v>
      </c>
      <c r="I353" s="314">
        <f>(58569513)/1000*$I$5</f>
        <v>58569.512999999999</v>
      </c>
      <c r="J353" s="314">
        <f>I353-(514047/1000*$I$5)</f>
        <v>58055.466</v>
      </c>
      <c r="K353" s="341"/>
      <c r="L353" s="303"/>
    </row>
    <row r="354" spans="1:13" s="281" customFormat="1" ht="79.5" x14ac:dyDescent="0.2">
      <c r="A354" s="302"/>
      <c r="B354" s="373" t="s">
        <v>2757</v>
      </c>
      <c r="C354" s="381" t="s">
        <v>2275</v>
      </c>
      <c r="D354" s="642"/>
      <c r="E354" s="647"/>
      <c r="F354" s="315" t="s">
        <v>2274</v>
      </c>
      <c r="G354" s="302" t="s">
        <v>1737</v>
      </c>
      <c r="H354" s="346" t="s">
        <v>2283</v>
      </c>
      <c r="I354" s="314">
        <f>(47155976)/1000*$I$5</f>
        <v>47155.976000000002</v>
      </c>
      <c r="J354" s="314">
        <f>I354-((1128093+458400)/1000*$I$5)</f>
        <v>45569.483</v>
      </c>
      <c r="K354" s="341"/>
      <c r="L354" s="303"/>
    </row>
    <row r="355" spans="1:13" s="281" customFormat="1" ht="68.25" x14ac:dyDescent="0.2">
      <c r="A355" s="302"/>
      <c r="B355" s="373" t="s">
        <v>2758</v>
      </c>
      <c r="C355" s="381" t="s">
        <v>2280</v>
      </c>
      <c r="D355" s="643"/>
      <c r="E355" s="648"/>
      <c r="F355" s="315" t="s">
        <v>2276</v>
      </c>
      <c r="G355" s="302" t="s">
        <v>1737</v>
      </c>
      <c r="H355" s="346" t="s">
        <v>2284</v>
      </c>
      <c r="I355" s="314">
        <f>(646740)/1000*$I$5</f>
        <v>646.74</v>
      </c>
      <c r="J355" s="314">
        <f>I355-(0/1000*$I$5)</f>
        <v>646.74</v>
      </c>
      <c r="K355" s="341"/>
      <c r="L355" s="303"/>
    </row>
    <row r="356" spans="1:13" s="281" customFormat="1" ht="108" x14ac:dyDescent="0.2">
      <c r="A356" s="302"/>
      <c r="B356" s="300" t="s">
        <v>2759</v>
      </c>
      <c r="C356" s="371" t="s">
        <v>2341</v>
      </c>
      <c r="D356" s="315" t="s">
        <v>2348</v>
      </c>
      <c r="E356" s="322" t="s">
        <v>2342</v>
      </c>
      <c r="F356" s="315" t="s">
        <v>2347</v>
      </c>
      <c r="G356" s="302" t="s">
        <v>1586</v>
      </c>
      <c r="H356" s="302" t="s">
        <v>1520</v>
      </c>
      <c r="I356" s="314">
        <f>(2378550.72)/1000*$I$5</f>
        <v>2378.5507200000002</v>
      </c>
      <c r="J356" s="314">
        <f>I356-(1019575/1000*$I$5)</f>
        <v>1358.9757200000001</v>
      </c>
      <c r="K356" s="341" t="s">
        <v>2340</v>
      </c>
      <c r="L356" s="303"/>
    </row>
    <row r="357" spans="1:13" s="281" customFormat="1" ht="168" x14ac:dyDescent="0.2">
      <c r="A357" s="302"/>
      <c r="B357" s="300" t="s">
        <v>2760</v>
      </c>
      <c r="C357" s="364" t="s">
        <v>2344</v>
      </c>
      <c r="D357" s="315" t="s">
        <v>2349</v>
      </c>
      <c r="E357" s="322" t="s">
        <v>2346</v>
      </c>
      <c r="F357" s="315" t="s">
        <v>2343</v>
      </c>
      <c r="G357" s="302" t="s">
        <v>1586</v>
      </c>
      <c r="H357" s="302" t="s">
        <v>1586</v>
      </c>
      <c r="I357" s="314">
        <f>(624370)/1000*$I$5</f>
        <v>624.37</v>
      </c>
      <c r="J357" s="314">
        <f>I357-(254894/1000*$I$5)</f>
        <v>369.476</v>
      </c>
      <c r="K357" s="341" t="s">
        <v>2345</v>
      </c>
      <c r="L357" s="303"/>
    </row>
    <row r="358" spans="1:13" s="281" customFormat="1" ht="108" x14ac:dyDescent="0.2">
      <c r="A358" s="302"/>
      <c r="B358" s="300" t="s">
        <v>2761</v>
      </c>
      <c r="C358" s="364" t="s">
        <v>2351</v>
      </c>
      <c r="D358" s="315" t="s">
        <v>2352</v>
      </c>
      <c r="E358" s="322" t="s">
        <v>2353</v>
      </c>
      <c r="F358" s="315" t="s">
        <v>2350</v>
      </c>
      <c r="G358" s="302" t="s">
        <v>872</v>
      </c>
      <c r="H358" s="302" t="s">
        <v>1586</v>
      </c>
      <c r="I358" s="314">
        <f>(1801066)/1000*$I$5</f>
        <v>1801.066</v>
      </c>
      <c r="J358" s="314">
        <f>I358-(1801066/1000*$I$5)</f>
        <v>0</v>
      </c>
      <c r="K358" s="341"/>
      <c r="L358" s="303"/>
    </row>
    <row r="359" spans="1:13" s="330" customFormat="1" ht="72.75" customHeight="1" x14ac:dyDescent="0.2">
      <c r="A359" s="302"/>
      <c r="B359" s="300" t="s">
        <v>2766</v>
      </c>
      <c r="C359" s="364" t="s">
        <v>2234</v>
      </c>
      <c r="D359" s="629" t="s">
        <v>2762</v>
      </c>
      <c r="E359" s="322" t="s">
        <v>2211</v>
      </c>
      <c r="F359" s="315" t="s">
        <v>2209</v>
      </c>
      <c r="G359" s="302" t="s">
        <v>15</v>
      </c>
      <c r="H359" s="346" t="s">
        <v>2213</v>
      </c>
      <c r="I359" s="314">
        <f>(82879640)/1000*$I$5</f>
        <v>82879.64</v>
      </c>
      <c r="J359" s="314">
        <f>I359-(15683489+585646+990259+432139+408474)/1000*$I$5</f>
        <v>64779.633000000002</v>
      </c>
      <c r="K359" s="315" t="s">
        <v>2210</v>
      </c>
      <c r="L359" s="336"/>
    </row>
    <row r="360" spans="1:13" s="330" customFormat="1" ht="84" customHeight="1" x14ac:dyDescent="0.2">
      <c r="A360" s="332"/>
      <c r="B360" s="300" t="s">
        <v>2767</v>
      </c>
      <c r="C360" s="333" t="s">
        <v>2765</v>
      </c>
      <c r="D360" s="631"/>
      <c r="E360" s="335" t="s">
        <v>2445</v>
      </c>
      <c r="F360" s="334" t="s">
        <v>2763</v>
      </c>
      <c r="G360" s="332" t="s">
        <v>2447</v>
      </c>
      <c r="H360" s="332" t="s">
        <v>2446</v>
      </c>
      <c r="I360" s="372" t="s">
        <v>2953</v>
      </c>
      <c r="J360" s="331"/>
      <c r="K360" s="334" t="s">
        <v>2764</v>
      </c>
      <c r="L360" s="336"/>
    </row>
    <row r="361" spans="1:13" ht="72" x14ac:dyDescent="0.2">
      <c r="A361" s="75" t="s">
        <v>751</v>
      </c>
      <c r="B361" s="277" t="s">
        <v>2768</v>
      </c>
      <c r="C361" s="355" t="s">
        <v>2542</v>
      </c>
      <c r="D361" s="352" t="s">
        <v>1315</v>
      </c>
      <c r="E361" s="181" t="s">
        <v>2004</v>
      </c>
      <c r="F361" s="352" t="s">
        <v>1316</v>
      </c>
      <c r="G361" s="77" t="s">
        <v>569</v>
      </c>
      <c r="H361" s="77" t="s">
        <v>91</v>
      </c>
      <c r="I361" s="193">
        <f>(18977634)/1000*$I$5</f>
        <v>18977.633999999998</v>
      </c>
      <c r="J361" s="193">
        <f>I361-(9713106)/1000*$I$5</f>
        <v>9264.5279999999984</v>
      </c>
      <c r="K361" s="352" t="s">
        <v>567</v>
      </c>
      <c r="L361" s="78"/>
      <c r="M361" s="60" t="s">
        <v>568</v>
      </c>
    </row>
    <row r="362" spans="1:13" s="281" customFormat="1" ht="69" customHeight="1" x14ac:dyDescent="0.2">
      <c r="A362" s="302"/>
      <c r="B362" s="277" t="s">
        <v>2769</v>
      </c>
      <c r="C362" s="364"/>
      <c r="D362" s="315" t="s">
        <v>629</v>
      </c>
      <c r="E362" s="322" t="s">
        <v>2122</v>
      </c>
      <c r="F362" s="315" t="s">
        <v>2541</v>
      </c>
      <c r="G362" s="300" t="s">
        <v>63</v>
      </c>
      <c r="H362" s="300" t="s">
        <v>1559</v>
      </c>
      <c r="I362" s="314">
        <f>(7100000)/1000*$I$5</f>
        <v>7100</v>
      </c>
      <c r="J362" s="314">
        <f t="shared" ref="J362:J367" si="12">I362-(0)/1000*$I$5</f>
        <v>7100</v>
      </c>
      <c r="K362" s="315" t="s">
        <v>2123</v>
      </c>
      <c r="L362" s="303"/>
    </row>
    <row r="363" spans="1:13" s="281" customFormat="1" ht="96" x14ac:dyDescent="0.2">
      <c r="A363" s="302"/>
      <c r="B363" s="277" t="s">
        <v>2770</v>
      </c>
      <c r="C363" s="364" t="s">
        <v>2549</v>
      </c>
      <c r="D363" s="315" t="s">
        <v>2543</v>
      </c>
      <c r="E363" s="322" t="s">
        <v>2544</v>
      </c>
      <c r="F363" s="315" t="s">
        <v>2545</v>
      </c>
      <c r="G363" s="300" t="s">
        <v>1643</v>
      </c>
      <c r="H363" s="300" t="s">
        <v>2104</v>
      </c>
      <c r="I363" s="314">
        <f>(18616366)/1000*$I$5</f>
        <v>18616.366000000002</v>
      </c>
      <c r="J363" s="314">
        <f t="shared" si="12"/>
        <v>18616.366000000002</v>
      </c>
      <c r="K363" s="315" t="s">
        <v>2546</v>
      </c>
      <c r="L363" s="303"/>
    </row>
    <row r="364" spans="1:13" s="281" customFormat="1" ht="96" x14ac:dyDescent="0.2">
      <c r="A364" s="302"/>
      <c r="B364" s="302" t="s">
        <v>2771</v>
      </c>
      <c r="C364" s="364" t="s">
        <v>2550</v>
      </c>
      <c r="D364" s="315" t="s">
        <v>2548</v>
      </c>
      <c r="E364" s="322" t="s">
        <v>2551</v>
      </c>
      <c r="F364" s="315" t="s">
        <v>2547</v>
      </c>
      <c r="G364" s="300" t="s">
        <v>1643</v>
      </c>
      <c r="H364" s="300" t="s">
        <v>1527</v>
      </c>
      <c r="I364" s="314">
        <f>(829621)/1000*$I$5</f>
        <v>829.62099999999998</v>
      </c>
      <c r="J364" s="314">
        <f t="shared" si="12"/>
        <v>829.62099999999998</v>
      </c>
      <c r="K364" s="315"/>
      <c r="L364" s="303"/>
    </row>
    <row r="365" spans="1:13" ht="72" x14ac:dyDescent="0.2">
      <c r="A365" s="75" t="s">
        <v>752</v>
      </c>
      <c r="B365" s="277" t="s">
        <v>2772</v>
      </c>
      <c r="C365" s="607" t="s">
        <v>782</v>
      </c>
      <c r="D365" s="352" t="s">
        <v>1318</v>
      </c>
      <c r="E365" s="181" t="s">
        <v>614</v>
      </c>
      <c r="F365" s="352" t="s">
        <v>1319</v>
      </c>
      <c r="G365" s="77" t="s">
        <v>95</v>
      </c>
      <c r="H365" s="77" t="s">
        <v>104</v>
      </c>
      <c r="I365" s="193">
        <f>(10466390)/1000*$I$5</f>
        <v>10466.39</v>
      </c>
      <c r="J365" s="193">
        <f t="shared" si="12"/>
        <v>10466.39</v>
      </c>
      <c r="K365" s="66" t="s">
        <v>615</v>
      </c>
      <c r="L365" s="78"/>
      <c r="M365" s="60" t="s">
        <v>614</v>
      </c>
    </row>
    <row r="366" spans="1:13" s="281" customFormat="1" ht="108" x14ac:dyDescent="0.2">
      <c r="A366" s="302"/>
      <c r="B366" s="277" t="s">
        <v>2774</v>
      </c>
      <c r="C366" s="608"/>
      <c r="D366" s="315" t="s">
        <v>2005</v>
      </c>
      <c r="E366" s="322" t="s">
        <v>2006</v>
      </c>
      <c r="F366" s="315" t="s">
        <v>2007</v>
      </c>
      <c r="G366" s="300" t="s">
        <v>872</v>
      </c>
      <c r="H366" s="300" t="s">
        <v>1520</v>
      </c>
      <c r="I366" s="314">
        <f>(12650000)/1000*$I$5</f>
        <v>12650</v>
      </c>
      <c r="J366" s="314">
        <f t="shared" si="12"/>
        <v>12650</v>
      </c>
      <c r="K366" s="299" t="s">
        <v>2009</v>
      </c>
      <c r="L366" s="303"/>
    </row>
    <row r="367" spans="1:13" s="281" customFormat="1" ht="84" x14ac:dyDescent="0.2">
      <c r="A367" s="277"/>
      <c r="B367" s="277" t="s">
        <v>2773</v>
      </c>
      <c r="C367" s="608"/>
      <c r="D367" s="367" t="s">
        <v>2011</v>
      </c>
      <c r="E367" s="278" t="s">
        <v>2010</v>
      </c>
      <c r="F367" s="367" t="s">
        <v>2008</v>
      </c>
      <c r="G367" s="294" t="s">
        <v>1586</v>
      </c>
      <c r="H367" s="294" t="s">
        <v>1520</v>
      </c>
      <c r="I367" s="279">
        <f>(1446689.11)/1000*$I$5</f>
        <v>1446.68911</v>
      </c>
      <c r="J367" s="279">
        <f t="shared" si="12"/>
        <v>1446.68911</v>
      </c>
      <c r="K367" s="299" t="s">
        <v>2012</v>
      </c>
      <c r="L367" s="303"/>
    </row>
    <row r="368" spans="1:13" s="281" customFormat="1" ht="36" x14ac:dyDescent="0.2">
      <c r="A368" s="300"/>
      <c r="B368" s="294" t="s">
        <v>2775</v>
      </c>
      <c r="C368" s="364" t="s">
        <v>2013</v>
      </c>
      <c r="D368" s="299"/>
      <c r="E368" s="298"/>
      <c r="F368" s="299"/>
      <c r="G368" s="300"/>
      <c r="H368" s="300"/>
      <c r="I368" s="301"/>
      <c r="J368" s="301"/>
      <c r="K368" s="299"/>
      <c r="L368" s="303"/>
    </row>
    <row r="369" spans="1:14" s="281" customFormat="1" ht="84" x14ac:dyDescent="0.2">
      <c r="A369" s="302"/>
      <c r="B369" s="277" t="s">
        <v>2776</v>
      </c>
      <c r="C369" s="364" t="s">
        <v>2014</v>
      </c>
      <c r="D369" s="315" t="s">
        <v>2019</v>
      </c>
      <c r="E369" s="322" t="s">
        <v>2016</v>
      </c>
      <c r="F369" s="315" t="s">
        <v>2020</v>
      </c>
      <c r="G369" s="300" t="s">
        <v>1554</v>
      </c>
      <c r="H369" s="300" t="s">
        <v>1520</v>
      </c>
      <c r="I369" s="314">
        <f>(8180369.68)/1000*$I$5</f>
        <v>8180.3696799999998</v>
      </c>
      <c r="J369" s="314">
        <f>I369-(186416+66291)/1000*$I$5</f>
        <v>7927.6626799999995</v>
      </c>
      <c r="K369" s="299" t="s">
        <v>2018</v>
      </c>
      <c r="L369" s="303"/>
    </row>
    <row r="370" spans="1:14" s="281" customFormat="1" ht="48" x14ac:dyDescent="0.2">
      <c r="A370" s="302"/>
      <c r="B370" s="277" t="s">
        <v>2777</v>
      </c>
      <c r="C370" s="364" t="s">
        <v>2014</v>
      </c>
      <c r="D370" s="315"/>
      <c r="E370" s="322" t="s">
        <v>2023</v>
      </c>
      <c r="F370" s="315" t="s">
        <v>2021</v>
      </c>
      <c r="G370" s="300" t="s">
        <v>1586</v>
      </c>
      <c r="H370" s="300" t="s">
        <v>1614</v>
      </c>
      <c r="I370" s="314">
        <f>(11354320.27+2332029.35)/1000*$I$5</f>
        <v>13686.349619999999</v>
      </c>
      <c r="J370" s="314">
        <f>I370-(470325.95+64964+28594)/1000*$I$5</f>
        <v>13122.46567</v>
      </c>
      <c r="K370" s="299" t="s">
        <v>2022</v>
      </c>
      <c r="L370" s="303"/>
    </row>
    <row r="371" spans="1:14" s="281" customFormat="1" ht="36" x14ac:dyDescent="0.2">
      <c r="A371" s="302"/>
      <c r="B371" s="277" t="s">
        <v>2778</v>
      </c>
      <c r="C371" s="364" t="s">
        <v>2287</v>
      </c>
      <c r="D371" s="315"/>
      <c r="E371" s="322" t="s">
        <v>2288</v>
      </c>
      <c r="F371" s="315" t="s">
        <v>2286</v>
      </c>
      <c r="G371" s="300" t="s">
        <v>613</v>
      </c>
      <c r="H371" s="300" t="s">
        <v>1830</v>
      </c>
      <c r="I371" s="314">
        <f>(1918547.11)/1000*$I$5</f>
        <v>1918.5471100000002</v>
      </c>
      <c r="J371" s="314">
        <f>I371-(0)/1000*$I$5</f>
        <v>1918.5471100000002</v>
      </c>
      <c r="K371" s="299" t="s">
        <v>2285</v>
      </c>
      <c r="L371" s="303"/>
    </row>
    <row r="372" spans="1:14" s="281" customFormat="1" ht="114" customHeight="1" x14ac:dyDescent="0.2">
      <c r="A372" s="302"/>
      <c r="B372" s="302" t="s">
        <v>2779</v>
      </c>
      <c r="C372" s="366" t="s">
        <v>2014</v>
      </c>
      <c r="D372" s="315" t="s">
        <v>2015</v>
      </c>
      <c r="E372" s="322" t="s">
        <v>2017</v>
      </c>
      <c r="F372" s="315" t="s">
        <v>2959</v>
      </c>
      <c r="G372" s="300" t="s">
        <v>1559</v>
      </c>
      <c r="H372" s="300" t="s">
        <v>638</v>
      </c>
      <c r="I372" s="314">
        <f>(1234821.32)/1000*$I$5</f>
        <v>1234.82132</v>
      </c>
      <c r="J372" s="314">
        <f>I372-(1209855.08)/1000*$I$5</f>
        <v>24.966239999999971</v>
      </c>
      <c r="K372" s="299" t="s">
        <v>2960</v>
      </c>
      <c r="L372" s="303"/>
    </row>
    <row r="373" spans="1:14" ht="84" customHeight="1" x14ac:dyDescent="0.2">
      <c r="A373" s="75" t="s">
        <v>753</v>
      </c>
      <c r="B373" s="302" t="s">
        <v>2780</v>
      </c>
      <c r="C373" s="607" t="s">
        <v>783</v>
      </c>
      <c r="D373" s="582" t="s">
        <v>629</v>
      </c>
      <c r="E373" s="181" t="s">
        <v>2116</v>
      </c>
      <c r="F373" s="352" t="s">
        <v>1320</v>
      </c>
      <c r="G373" s="354" t="s">
        <v>95</v>
      </c>
      <c r="H373" s="354" t="s">
        <v>21</v>
      </c>
      <c r="I373" s="193">
        <f>(19971733.7)/1000*$I$5</f>
        <v>19971.733700000001</v>
      </c>
      <c r="J373" s="193">
        <f>I373-(0)/1000*$I$5</f>
        <v>19971.733700000001</v>
      </c>
      <c r="K373" s="66" t="s">
        <v>631</v>
      </c>
      <c r="L373" s="78"/>
      <c r="M373" s="68" t="s">
        <v>630</v>
      </c>
      <c r="N373" s="60">
        <v>19971733.699999999</v>
      </c>
    </row>
    <row r="374" spans="1:14" s="281" customFormat="1" ht="72" x14ac:dyDescent="0.2">
      <c r="A374" s="302"/>
      <c r="B374" s="302" t="s">
        <v>2781</v>
      </c>
      <c r="C374" s="608"/>
      <c r="D374" s="583"/>
      <c r="E374" s="278" t="s">
        <v>2117</v>
      </c>
      <c r="F374" s="367" t="s">
        <v>2961</v>
      </c>
      <c r="G374" s="277" t="s">
        <v>21</v>
      </c>
      <c r="H374" s="277" t="s">
        <v>15</v>
      </c>
      <c r="I374" s="279">
        <f>(1928109)/1000*$I$5</f>
        <v>1928.1089999999999</v>
      </c>
      <c r="J374" s="279">
        <f>I374-(0)/1000*$I$5</f>
        <v>1928.1089999999999</v>
      </c>
      <c r="K374" s="367"/>
      <c r="L374" s="280"/>
      <c r="M374" s="296"/>
    </row>
    <row r="375" spans="1:14" s="281" customFormat="1" ht="72" x14ac:dyDescent="0.2">
      <c r="A375" s="302"/>
      <c r="B375" s="302" t="s">
        <v>2782</v>
      </c>
      <c r="C375" s="608"/>
      <c r="D375" s="583"/>
      <c r="E375" s="278" t="s">
        <v>2118</v>
      </c>
      <c r="F375" s="367" t="s">
        <v>2119</v>
      </c>
      <c r="G375" s="277" t="s">
        <v>598</v>
      </c>
      <c r="H375" s="277" t="s">
        <v>1830</v>
      </c>
      <c r="I375" s="279">
        <f>(3102029)/1000*$I$5</f>
        <v>3102.029</v>
      </c>
      <c r="J375" s="279">
        <f>I375-(0)/1000*$I$5</f>
        <v>3102.029</v>
      </c>
      <c r="K375" s="367"/>
      <c r="L375" s="280"/>
      <c r="M375" s="296"/>
    </row>
    <row r="376" spans="1:14" s="281" customFormat="1" ht="72" x14ac:dyDescent="0.2">
      <c r="A376" s="302"/>
      <c r="B376" s="302" t="s">
        <v>2783</v>
      </c>
      <c r="C376" s="608"/>
      <c r="D376" s="584"/>
      <c r="E376" s="278" t="s">
        <v>2121</v>
      </c>
      <c r="F376" s="367" t="s">
        <v>2120</v>
      </c>
      <c r="G376" s="277" t="s">
        <v>1830</v>
      </c>
      <c r="H376" s="277" t="s">
        <v>1830</v>
      </c>
      <c r="I376" s="279">
        <f>(3102029)/1000*$I$5</f>
        <v>3102.029</v>
      </c>
      <c r="J376" s="279">
        <f>I376-(0)/1000*$I$5</f>
        <v>3102.029</v>
      </c>
      <c r="K376" s="367"/>
      <c r="L376" s="280"/>
      <c r="M376" s="296"/>
    </row>
    <row r="377" spans="1:14" ht="54.75" customHeight="1" x14ac:dyDescent="0.2">
      <c r="A377" s="75" t="s">
        <v>754</v>
      </c>
      <c r="B377" s="277" t="s">
        <v>2784</v>
      </c>
      <c r="C377" s="356" t="s">
        <v>783</v>
      </c>
      <c r="D377" s="350" t="s">
        <v>1323</v>
      </c>
      <c r="E377" s="176" t="s">
        <v>573</v>
      </c>
      <c r="F377" s="351" t="s">
        <v>1367</v>
      </c>
      <c r="G377" s="187" t="s">
        <v>49</v>
      </c>
      <c r="H377" s="187" t="s">
        <v>7</v>
      </c>
      <c r="I377" s="188">
        <f>(7958431)/1000*$I$5</f>
        <v>7958.4309999999996</v>
      </c>
      <c r="J377" s="188">
        <f>I377-(0)/1000*$I$5</f>
        <v>7958.4309999999996</v>
      </c>
      <c r="K377" s="358" t="s">
        <v>572</v>
      </c>
      <c r="L377" s="224"/>
    </row>
    <row r="378" spans="1:14" ht="38.25" customHeight="1" x14ac:dyDescent="0.2">
      <c r="A378" s="56" t="s">
        <v>1324</v>
      </c>
      <c r="B378" s="277" t="s">
        <v>2785</v>
      </c>
      <c r="C378" s="355" t="s">
        <v>1321</v>
      </c>
      <c r="D378" s="583" t="s">
        <v>1322</v>
      </c>
      <c r="E378" s="176"/>
      <c r="F378" s="351"/>
      <c r="G378" s="187"/>
      <c r="H378" s="187"/>
      <c r="I378" s="188"/>
      <c r="J378" s="188"/>
      <c r="K378" s="358"/>
      <c r="L378" s="224"/>
    </row>
    <row r="379" spans="1:14" ht="33.75" x14ac:dyDescent="0.2">
      <c r="A379" s="56" t="s">
        <v>755</v>
      </c>
      <c r="B379" s="277" t="s">
        <v>2786</v>
      </c>
      <c r="C379" s="356" t="s">
        <v>1328</v>
      </c>
      <c r="D379" s="583"/>
      <c r="E379" s="176" t="s">
        <v>575</v>
      </c>
      <c r="F379" s="351" t="s">
        <v>1327</v>
      </c>
      <c r="G379" s="187" t="s">
        <v>52</v>
      </c>
      <c r="H379" s="187" t="s">
        <v>63</v>
      </c>
      <c r="I379" s="188">
        <f>(201397276)/1000*$I$5</f>
        <v>201397.27600000001</v>
      </c>
      <c r="J379" s="188">
        <f>I379-(2563200+6523166+2974576+382255)/1000*$I$5</f>
        <v>188954.07900000003</v>
      </c>
      <c r="K379" s="358" t="s">
        <v>1327</v>
      </c>
      <c r="L379" s="224"/>
      <c r="M379" s="60" t="s">
        <v>575</v>
      </c>
    </row>
    <row r="380" spans="1:14" ht="36" x14ac:dyDescent="0.2">
      <c r="A380" s="56" t="s">
        <v>757</v>
      </c>
      <c r="B380" s="277" t="s">
        <v>2787</v>
      </c>
      <c r="C380" s="356" t="s">
        <v>1329</v>
      </c>
      <c r="D380" s="583"/>
      <c r="E380" s="176" t="s">
        <v>577</v>
      </c>
      <c r="F380" s="351" t="s">
        <v>1330</v>
      </c>
      <c r="G380" s="187" t="s">
        <v>488</v>
      </c>
      <c r="H380" s="187" t="s">
        <v>19</v>
      </c>
      <c r="I380" s="188">
        <f>(17803061)/1000*$I$5</f>
        <v>17803.061000000002</v>
      </c>
      <c r="J380" s="188">
        <f>I380-(0)/1000*$I$5</f>
        <v>17803.061000000002</v>
      </c>
      <c r="K380" s="358"/>
      <c r="L380" s="224"/>
      <c r="M380" s="60" t="s">
        <v>577</v>
      </c>
    </row>
    <row r="381" spans="1:14" ht="42" customHeight="1" x14ac:dyDescent="0.2">
      <c r="A381" s="56" t="s">
        <v>758</v>
      </c>
      <c r="B381" s="277" t="s">
        <v>2788</v>
      </c>
      <c r="C381" s="356" t="s">
        <v>599</v>
      </c>
      <c r="D381" s="583"/>
      <c r="E381" s="176" t="s">
        <v>603</v>
      </c>
      <c r="F381" s="351" t="s">
        <v>1331</v>
      </c>
      <c r="G381" s="187" t="s">
        <v>7</v>
      </c>
      <c r="H381" s="187" t="s">
        <v>11</v>
      </c>
      <c r="I381" s="188">
        <f>(43708282)/1000*$I$5</f>
        <v>43708.281999999999</v>
      </c>
      <c r="J381" s="188">
        <f>I381-(0)/1000*$I$5</f>
        <v>43708.281999999999</v>
      </c>
      <c r="K381" s="358" t="s">
        <v>716</v>
      </c>
      <c r="L381" s="224"/>
      <c r="M381" s="60" t="s">
        <v>603</v>
      </c>
      <c r="N381" s="60">
        <v>43708282</v>
      </c>
    </row>
    <row r="382" spans="1:14" ht="38.25" customHeight="1" x14ac:dyDescent="0.2">
      <c r="A382" s="56" t="s">
        <v>759</v>
      </c>
      <c r="B382" s="277" t="s">
        <v>2789</v>
      </c>
      <c r="C382" s="356" t="s">
        <v>1332</v>
      </c>
      <c r="D382" s="583"/>
      <c r="E382" s="176" t="s">
        <v>602</v>
      </c>
      <c r="F382" s="351" t="s">
        <v>1029</v>
      </c>
      <c r="G382" s="187" t="s">
        <v>86</v>
      </c>
      <c r="H382" s="187" t="s">
        <v>511</v>
      </c>
      <c r="I382" s="188">
        <f>(6500000)/1000*$I$5</f>
        <v>6500</v>
      </c>
      <c r="J382" s="188">
        <f>I382-(0)/1000*$I$5</f>
        <v>6500</v>
      </c>
      <c r="K382" s="358" t="s">
        <v>601</v>
      </c>
      <c r="L382" s="224"/>
      <c r="M382" s="60" t="s">
        <v>602</v>
      </c>
    </row>
    <row r="383" spans="1:14" ht="180" x14ac:dyDescent="0.2">
      <c r="A383" s="56" t="s">
        <v>760</v>
      </c>
      <c r="B383" s="277" t="s">
        <v>2790</v>
      </c>
      <c r="C383" s="356" t="s">
        <v>1333</v>
      </c>
      <c r="D383" s="583"/>
      <c r="E383" s="176" t="s">
        <v>605</v>
      </c>
      <c r="F383" s="351" t="s">
        <v>1030</v>
      </c>
      <c r="G383" s="187" t="s">
        <v>137</v>
      </c>
      <c r="H383" s="187" t="s">
        <v>15</v>
      </c>
      <c r="I383" s="188">
        <f>(35378118)/1000*$I$5</f>
        <v>35378.118000000002</v>
      </c>
      <c r="J383" s="188">
        <f>I383-(3938389+901930+3555281+3476986+654073)/1000*$I$5</f>
        <v>22851.459000000003</v>
      </c>
      <c r="K383" s="358" t="s">
        <v>717</v>
      </c>
      <c r="L383" s="224"/>
      <c r="M383" s="60" t="s">
        <v>605</v>
      </c>
    </row>
    <row r="384" spans="1:14" ht="108" x14ac:dyDescent="0.2">
      <c r="A384" s="56" t="s">
        <v>761</v>
      </c>
      <c r="B384" s="277" t="s">
        <v>2791</v>
      </c>
      <c r="C384" s="356" t="s">
        <v>1334</v>
      </c>
      <c r="D384" s="583"/>
      <c r="E384" s="176" t="s">
        <v>608</v>
      </c>
      <c r="F384" s="351" t="s">
        <v>1335</v>
      </c>
      <c r="G384" s="187" t="s">
        <v>137</v>
      </c>
      <c r="H384" s="187" t="s">
        <v>606</v>
      </c>
      <c r="I384" s="188">
        <f>(33543354)/1000*$I$5</f>
        <v>33543.353999999999</v>
      </c>
      <c r="J384" s="188">
        <f>I384-(4632327+4377223+2736212+684057)/1000*$I$5</f>
        <v>21113.535</v>
      </c>
      <c r="K384" s="358" t="s">
        <v>718</v>
      </c>
      <c r="L384" s="224"/>
      <c r="M384" s="60" t="s">
        <v>608</v>
      </c>
    </row>
    <row r="385" spans="1:13" ht="60.75" customHeight="1" x14ac:dyDescent="0.2">
      <c r="A385" s="56" t="s">
        <v>1325</v>
      </c>
      <c r="B385" s="277" t="s">
        <v>2792</v>
      </c>
      <c r="C385" s="356" t="s">
        <v>1334</v>
      </c>
      <c r="D385" s="583"/>
      <c r="E385" s="176" t="s">
        <v>609</v>
      </c>
      <c r="F385" s="351" t="s">
        <v>1336</v>
      </c>
      <c r="G385" s="187" t="s">
        <v>137</v>
      </c>
      <c r="H385" s="187" t="s">
        <v>610</v>
      </c>
      <c r="I385" s="188">
        <f>(18037985+118305)/1000*$I$5</f>
        <v>18156.29</v>
      </c>
      <c r="J385" s="188">
        <f>I385-(11424321+45196)/1000*$I$5</f>
        <v>6686.773000000001</v>
      </c>
      <c r="K385" s="358" t="s">
        <v>719</v>
      </c>
      <c r="L385" s="224"/>
      <c r="M385" s="60" t="s">
        <v>609</v>
      </c>
    </row>
    <row r="386" spans="1:13" ht="60.75" customHeight="1" x14ac:dyDescent="0.2">
      <c r="A386" s="56" t="s">
        <v>1326</v>
      </c>
      <c r="B386" s="277" t="s">
        <v>2793</v>
      </c>
      <c r="C386" s="356" t="s">
        <v>611</v>
      </c>
      <c r="D386" s="583"/>
      <c r="E386" s="176" t="s">
        <v>612</v>
      </c>
      <c r="F386" s="351" t="s">
        <v>720</v>
      </c>
      <c r="G386" s="187" t="s">
        <v>95</v>
      </c>
      <c r="H386" s="187" t="s">
        <v>613</v>
      </c>
      <c r="I386" s="188">
        <f>(5033317+399809)/1000*$I$5</f>
        <v>5433.1260000000002</v>
      </c>
      <c r="J386" s="188">
        <f>I386-(1550269+696868+404745)/1000*$I$5</f>
        <v>2781.2440000000001</v>
      </c>
      <c r="K386" s="358" t="s">
        <v>720</v>
      </c>
      <c r="L386" s="224">
        <v>6222518</v>
      </c>
    </row>
    <row r="387" spans="1:13" ht="60.75" customHeight="1" x14ac:dyDescent="0.2">
      <c r="A387" s="56" t="s">
        <v>1337</v>
      </c>
      <c r="B387" s="277" t="s">
        <v>2794</v>
      </c>
      <c r="C387" s="356" t="s">
        <v>1338</v>
      </c>
      <c r="D387" s="583"/>
      <c r="E387" s="176" t="s">
        <v>1339</v>
      </c>
      <c r="F387" s="351" t="s">
        <v>1340</v>
      </c>
      <c r="G387" s="187" t="s">
        <v>137</v>
      </c>
      <c r="H387" s="187" t="s">
        <v>610</v>
      </c>
      <c r="I387" s="188">
        <f>(15739574+113436)/1000*$I$5</f>
        <v>15853.01</v>
      </c>
      <c r="J387" s="188">
        <f>I387-((15739574+113436))/1000*$I$5</f>
        <v>0</v>
      </c>
      <c r="K387" s="269">
        <v>17436617</v>
      </c>
      <c r="L387" s="224"/>
    </row>
    <row r="388" spans="1:13" ht="60.75" customHeight="1" x14ac:dyDescent="0.2">
      <c r="A388" s="56" t="s">
        <v>1343</v>
      </c>
      <c r="B388" s="277" t="s">
        <v>2795</v>
      </c>
      <c r="C388" s="356" t="s">
        <v>1342</v>
      </c>
      <c r="D388" s="583"/>
      <c r="E388" s="176" t="s">
        <v>1341</v>
      </c>
      <c r="F388" s="351" t="s">
        <v>1344</v>
      </c>
      <c r="G388" s="187" t="s">
        <v>9</v>
      </c>
      <c r="H388" s="187" t="s">
        <v>20</v>
      </c>
      <c r="I388" s="188">
        <f>(13874438+1564379+417525)/1000*$I$5</f>
        <v>15856.342000000001</v>
      </c>
      <c r="J388" s="188">
        <f t="shared" ref="J388:J393" si="13">I388-(0)/1000*$I$5</f>
        <v>15856.342000000001</v>
      </c>
      <c r="K388" s="358">
        <v>16450686</v>
      </c>
      <c r="L388" s="224"/>
    </row>
    <row r="389" spans="1:13" ht="60.75" customHeight="1" x14ac:dyDescent="0.2">
      <c r="A389" s="56" t="s">
        <v>1347</v>
      </c>
      <c r="B389" s="277" t="s">
        <v>2796</v>
      </c>
      <c r="C389" s="356" t="s">
        <v>1348</v>
      </c>
      <c r="D389" s="583"/>
      <c r="E389" s="176" t="s">
        <v>1352</v>
      </c>
      <c r="F389" s="351" t="s">
        <v>1349</v>
      </c>
      <c r="G389" s="187" t="s">
        <v>132</v>
      </c>
      <c r="H389" s="187" t="s">
        <v>16</v>
      </c>
      <c r="I389" s="188">
        <f>(1609757)/1000*$I$5</f>
        <v>1609.7570000000001</v>
      </c>
      <c r="J389" s="188">
        <f t="shared" si="13"/>
        <v>1609.7570000000001</v>
      </c>
      <c r="K389" s="358">
        <v>16450686</v>
      </c>
      <c r="L389" s="224"/>
    </row>
    <row r="390" spans="1:13" ht="120" x14ac:dyDescent="0.2">
      <c r="A390" s="56" t="s">
        <v>1356</v>
      </c>
      <c r="B390" s="277" t="s">
        <v>2797</v>
      </c>
      <c r="C390" s="356" t="s">
        <v>1334</v>
      </c>
      <c r="D390" s="583"/>
      <c r="E390" s="176" t="s">
        <v>1989</v>
      </c>
      <c r="F390" s="351" t="s">
        <v>1355</v>
      </c>
      <c r="G390" s="187" t="s">
        <v>18</v>
      </c>
      <c r="H390" s="187" t="s">
        <v>22</v>
      </c>
      <c r="I390" s="188">
        <f>(8690819)/1000*$I$5</f>
        <v>8690.8189999999995</v>
      </c>
      <c r="J390" s="188">
        <f t="shared" si="13"/>
        <v>8690.8189999999995</v>
      </c>
      <c r="K390" s="209"/>
      <c r="L390" s="224"/>
    </row>
    <row r="391" spans="1:13" ht="60.75" customHeight="1" x14ac:dyDescent="0.2">
      <c r="A391" s="56" t="s">
        <v>1357</v>
      </c>
      <c r="B391" s="277" t="s">
        <v>2798</v>
      </c>
      <c r="C391" s="356" t="s">
        <v>1360</v>
      </c>
      <c r="D391" s="583"/>
      <c r="E391" s="176" t="s">
        <v>1358</v>
      </c>
      <c r="F391" s="351" t="s">
        <v>1361</v>
      </c>
      <c r="G391" s="187" t="s">
        <v>22</v>
      </c>
      <c r="H391" s="187" t="s">
        <v>531</v>
      </c>
      <c r="I391" s="188">
        <f>(27309168+631762)/1000*$I$5</f>
        <v>27940.93</v>
      </c>
      <c r="J391" s="188">
        <f t="shared" si="13"/>
        <v>27940.93</v>
      </c>
      <c r="K391" s="209"/>
      <c r="L391" s="224"/>
    </row>
    <row r="392" spans="1:13" ht="56.25" customHeight="1" x14ac:dyDescent="0.2">
      <c r="A392" s="75" t="s">
        <v>1366</v>
      </c>
      <c r="B392" s="277" t="s">
        <v>2799</v>
      </c>
      <c r="C392" s="356" t="s">
        <v>1368</v>
      </c>
      <c r="D392" s="584"/>
      <c r="E392" s="176" t="s">
        <v>1363</v>
      </c>
      <c r="F392" s="351" t="s">
        <v>1369</v>
      </c>
      <c r="G392" s="187" t="s">
        <v>104</v>
      </c>
      <c r="H392" s="187" t="s">
        <v>531</v>
      </c>
      <c r="I392" s="188">
        <f>(15387432+135632)/1000*$I$5</f>
        <v>15523.064</v>
      </c>
      <c r="J392" s="188">
        <f t="shared" si="13"/>
        <v>15523.064</v>
      </c>
      <c r="L392" s="224"/>
      <c r="M392" s="60" t="s">
        <v>612</v>
      </c>
    </row>
    <row r="393" spans="1:13" s="281" customFormat="1" ht="56.25" customHeight="1" x14ac:dyDescent="0.2">
      <c r="A393" s="277"/>
      <c r="B393" s="277" t="s">
        <v>2800</v>
      </c>
      <c r="C393" s="297" t="s">
        <v>1991</v>
      </c>
      <c r="D393" s="367"/>
      <c r="E393" s="278" t="s">
        <v>1990</v>
      </c>
      <c r="F393" s="367" t="s">
        <v>1992</v>
      </c>
      <c r="G393" s="277" t="s">
        <v>17</v>
      </c>
      <c r="H393" s="277" t="s">
        <v>19</v>
      </c>
      <c r="I393" s="279">
        <f>(663726)/1000*$I$5</f>
        <v>663.726</v>
      </c>
      <c r="J393" s="279">
        <f t="shared" si="13"/>
        <v>663.726</v>
      </c>
      <c r="L393" s="280"/>
    </row>
    <row r="394" spans="1:13" s="281" customFormat="1" ht="56.25" customHeight="1" x14ac:dyDescent="0.2">
      <c r="A394" s="277"/>
      <c r="B394" s="277" t="s">
        <v>2801</v>
      </c>
      <c r="C394" s="297" t="s">
        <v>1994</v>
      </c>
      <c r="D394" s="367"/>
      <c r="E394" s="278" t="s">
        <v>1995</v>
      </c>
      <c r="F394" s="367" t="s">
        <v>2962</v>
      </c>
      <c r="G394" s="277" t="s">
        <v>1591</v>
      </c>
      <c r="H394" s="277" t="s">
        <v>1614</v>
      </c>
      <c r="I394" s="279">
        <f>(7859475)/1000*$I$5</f>
        <v>7859.4750000000004</v>
      </c>
      <c r="J394" s="279">
        <f>I394-(150189)/1000*$I$5</f>
        <v>7709.2860000000001</v>
      </c>
      <c r="L394" s="280"/>
    </row>
    <row r="395" spans="1:13" s="281" customFormat="1" ht="108" x14ac:dyDescent="0.2">
      <c r="A395" s="277"/>
      <c r="B395" s="277" t="s">
        <v>2802</v>
      </c>
      <c r="C395" s="297" t="s">
        <v>1997</v>
      </c>
      <c r="D395" s="367"/>
      <c r="E395" s="278" t="s">
        <v>1996</v>
      </c>
      <c r="F395" s="367" t="s">
        <v>1993</v>
      </c>
      <c r="G395" s="277" t="s">
        <v>63</v>
      </c>
      <c r="H395" s="284" t="s">
        <v>1999</v>
      </c>
      <c r="I395" s="279">
        <f>(80384795.01)/1000*$I$5</f>
        <v>80384.795010000002</v>
      </c>
      <c r="J395" s="279">
        <f>I395-(1768736+1701953+1221423+359593+2296938+3190088)/1000*$I$5</f>
        <v>69846.064010000002</v>
      </c>
      <c r="L395" s="280"/>
    </row>
    <row r="396" spans="1:13" s="281" customFormat="1" ht="120" x14ac:dyDescent="0.2">
      <c r="A396" s="277"/>
      <c r="B396" s="277" t="s">
        <v>2803</v>
      </c>
      <c r="C396" s="297" t="s">
        <v>2000</v>
      </c>
      <c r="D396" s="367"/>
      <c r="E396" s="278" t="s">
        <v>1998</v>
      </c>
      <c r="F396" s="367" t="s">
        <v>2002</v>
      </c>
      <c r="G396" s="277" t="s">
        <v>1579</v>
      </c>
      <c r="H396" s="284" t="s">
        <v>2003</v>
      </c>
      <c r="I396" s="279">
        <f>(15245177.84)/1000*$I$5</f>
        <v>15245.17784</v>
      </c>
      <c r="J396" s="279">
        <f>I396-(4077298.78+1372208)/1000*$I$5</f>
        <v>9795.6710600000006</v>
      </c>
      <c r="K396" s="326" t="s">
        <v>2001</v>
      </c>
      <c r="L396" s="280"/>
      <c r="M396" s="327">
        <f>(40772987.78+1372208)</f>
        <v>42145195.780000001</v>
      </c>
    </row>
    <row r="397" spans="1:13" s="281" customFormat="1" ht="144" x14ac:dyDescent="0.2">
      <c r="A397" s="277"/>
      <c r="B397" s="277" t="s">
        <v>2804</v>
      </c>
      <c r="C397" s="297" t="s">
        <v>2963</v>
      </c>
      <c r="D397" s="367" t="s">
        <v>2505</v>
      </c>
      <c r="E397" s="278" t="s">
        <v>2506</v>
      </c>
      <c r="F397" s="367" t="s">
        <v>2504</v>
      </c>
      <c r="G397" s="277" t="s">
        <v>1875</v>
      </c>
      <c r="H397" s="277" t="s">
        <v>1527</v>
      </c>
      <c r="I397" s="279">
        <f>(1231207)/1000*$I$5</f>
        <v>1231.2070000000001</v>
      </c>
      <c r="J397" s="279">
        <f t="shared" ref="J397:J403" si="14">I397-(0)/1000*$I$5</f>
        <v>1231.2070000000001</v>
      </c>
      <c r="K397" s="367" t="s">
        <v>2504</v>
      </c>
      <c r="L397" s="280"/>
    </row>
    <row r="398" spans="1:13" ht="27" customHeight="1" x14ac:dyDescent="0.2">
      <c r="A398" s="250" t="s">
        <v>762</v>
      </c>
      <c r="B398" s="294" t="s">
        <v>2805</v>
      </c>
      <c r="C398" s="355" t="s">
        <v>787</v>
      </c>
      <c r="D398" s="582" t="s">
        <v>1370</v>
      </c>
      <c r="E398" s="182"/>
      <c r="F398" s="350"/>
      <c r="G398" s="353"/>
      <c r="H398" s="353"/>
      <c r="I398" s="196">
        <f>(0)/1000*$I$5</f>
        <v>0</v>
      </c>
      <c r="J398" s="196">
        <f t="shared" si="14"/>
        <v>0</v>
      </c>
      <c r="K398" s="357"/>
      <c r="L398" s="231"/>
    </row>
    <row r="399" spans="1:13" ht="60" x14ac:dyDescent="0.2">
      <c r="A399" s="56" t="s">
        <v>1371</v>
      </c>
      <c r="B399" s="277" t="s">
        <v>2806</v>
      </c>
      <c r="C399" s="356" t="s">
        <v>788</v>
      </c>
      <c r="D399" s="583"/>
      <c r="E399" s="176" t="s">
        <v>452</v>
      </c>
      <c r="F399" s="351" t="s">
        <v>1375</v>
      </c>
      <c r="G399" s="187" t="s">
        <v>176</v>
      </c>
      <c r="H399" s="187" t="s">
        <v>48</v>
      </c>
      <c r="I399" s="188">
        <f>(6900000+4477636)/1000*$I$5</f>
        <v>11377.636</v>
      </c>
      <c r="J399" s="188">
        <f t="shared" si="14"/>
        <v>11377.636</v>
      </c>
      <c r="K399" s="358" t="s">
        <v>451</v>
      </c>
      <c r="L399" s="59"/>
      <c r="M399" s="248" t="s">
        <v>452</v>
      </c>
    </row>
    <row r="400" spans="1:13" ht="193.5" customHeight="1" x14ac:dyDescent="0.2">
      <c r="A400" s="56" t="s">
        <v>1372</v>
      </c>
      <c r="B400" s="277" t="s">
        <v>2807</v>
      </c>
      <c r="C400" s="356" t="s">
        <v>453</v>
      </c>
      <c r="D400" s="583"/>
      <c r="E400" s="176" t="s">
        <v>456</v>
      </c>
      <c r="F400" s="351" t="s">
        <v>1377</v>
      </c>
      <c r="G400" s="187" t="s">
        <v>176</v>
      </c>
      <c r="H400" s="187" t="s">
        <v>181</v>
      </c>
      <c r="I400" s="188">
        <f>(11864407)/1000*$I$5</f>
        <v>11864.406999999999</v>
      </c>
      <c r="J400" s="188">
        <f t="shared" si="14"/>
        <v>11864.406999999999</v>
      </c>
      <c r="K400" s="358" t="s">
        <v>538</v>
      </c>
      <c r="L400" s="59"/>
      <c r="M400" s="60" t="s">
        <v>456</v>
      </c>
    </row>
    <row r="401" spans="1:13" ht="63.75" customHeight="1" x14ac:dyDescent="0.2">
      <c r="A401" s="56" t="s">
        <v>1373</v>
      </c>
      <c r="B401" s="277" t="s">
        <v>2808</v>
      </c>
      <c r="C401" s="356" t="s">
        <v>457</v>
      </c>
      <c r="D401" s="583"/>
      <c r="E401" s="176" t="s">
        <v>460</v>
      </c>
      <c r="F401" s="351" t="s">
        <v>1376</v>
      </c>
      <c r="G401" s="187" t="s">
        <v>295</v>
      </c>
      <c r="H401" s="189" t="s">
        <v>48</v>
      </c>
      <c r="I401" s="188">
        <f>(2633979.11)/1000*$I$5</f>
        <v>2633.9791099999998</v>
      </c>
      <c r="J401" s="188">
        <f t="shared" si="14"/>
        <v>2633.9791099999998</v>
      </c>
      <c r="K401" s="358" t="s">
        <v>466</v>
      </c>
      <c r="L401" s="59"/>
      <c r="M401" s="60" t="s">
        <v>460</v>
      </c>
    </row>
    <row r="402" spans="1:13" ht="60" x14ac:dyDescent="0.2">
      <c r="A402" s="56" t="s">
        <v>1374</v>
      </c>
      <c r="B402" s="277" t="s">
        <v>2809</v>
      </c>
      <c r="C402" s="356" t="s">
        <v>1378</v>
      </c>
      <c r="D402" s="583"/>
      <c r="E402" s="176" t="s">
        <v>459</v>
      </c>
      <c r="F402" s="351" t="s">
        <v>1379</v>
      </c>
      <c r="G402" s="187" t="s">
        <v>410</v>
      </c>
      <c r="H402" s="189" t="s">
        <v>13</v>
      </c>
      <c r="I402" s="188">
        <f>(2058211.12)/1000*$I$5</f>
        <v>2058.2111199999999</v>
      </c>
      <c r="J402" s="188">
        <f t="shared" si="14"/>
        <v>2058.2111199999999</v>
      </c>
      <c r="K402" s="358" t="s">
        <v>539</v>
      </c>
      <c r="L402" s="59"/>
      <c r="M402" s="60" t="s">
        <v>459</v>
      </c>
    </row>
    <row r="403" spans="1:13" ht="108" x14ac:dyDescent="0.2">
      <c r="A403" s="56" t="s">
        <v>1380</v>
      </c>
      <c r="B403" s="277" t="s">
        <v>2810</v>
      </c>
      <c r="C403" s="356" t="s">
        <v>1381</v>
      </c>
      <c r="D403" s="583"/>
      <c r="E403" s="176" t="s">
        <v>465</v>
      </c>
      <c r="F403" s="351" t="s">
        <v>1382</v>
      </c>
      <c r="G403" s="187" t="s">
        <v>126</v>
      </c>
      <c r="H403" s="189" t="s">
        <v>410</v>
      </c>
      <c r="I403" s="188">
        <f>(2038983)/1000*$I$5</f>
        <v>2038.9829999999999</v>
      </c>
      <c r="J403" s="188">
        <f t="shared" si="14"/>
        <v>2038.9829999999999</v>
      </c>
      <c r="K403" s="358" t="s">
        <v>462</v>
      </c>
      <c r="L403" s="59"/>
      <c r="M403" s="60" t="s">
        <v>465</v>
      </c>
    </row>
    <row r="404" spans="1:13" ht="36" x14ac:dyDescent="0.2">
      <c r="A404" s="56" t="s">
        <v>1384</v>
      </c>
      <c r="B404" s="277" t="s">
        <v>2811</v>
      </c>
      <c r="C404" s="356" t="s">
        <v>1383</v>
      </c>
      <c r="D404" s="583"/>
      <c r="E404" s="176" t="s">
        <v>468</v>
      </c>
      <c r="F404" s="351" t="s">
        <v>464</v>
      </c>
      <c r="G404" s="187" t="s">
        <v>8</v>
      </c>
      <c r="H404" s="189" t="s">
        <v>14</v>
      </c>
      <c r="I404" s="188">
        <f>(130768063)/1000*$I$5</f>
        <v>130768.06299999999</v>
      </c>
      <c r="J404" s="188">
        <f>I404-(25018370+1469829+12347573)/1000*$I$5</f>
        <v>91932.290999999997</v>
      </c>
      <c r="K404" s="358" t="s">
        <v>467</v>
      </c>
      <c r="L404" s="59"/>
      <c r="M404" s="60" t="s">
        <v>468</v>
      </c>
    </row>
    <row r="405" spans="1:13" ht="108" x14ac:dyDescent="0.2">
      <c r="A405" s="56" t="s">
        <v>1386</v>
      </c>
      <c r="B405" s="277" t="s">
        <v>2812</v>
      </c>
      <c r="C405" s="356" t="s">
        <v>469</v>
      </c>
      <c r="D405" s="583"/>
      <c r="E405" s="176" t="s">
        <v>471</v>
      </c>
      <c r="F405" s="351" t="s">
        <v>1385</v>
      </c>
      <c r="G405" s="187" t="s">
        <v>179</v>
      </c>
      <c r="H405" s="187" t="s">
        <v>7</v>
      </c>
      <c r="I405" s="188">
        <f>(5544496)/1000*$I$5</f>
        <v>5544.4960000000001</v>
      </c>
      <c r="J405" s="188">
        <f>I405-(0)/1000*$I$5</f>
        <v>5544.4960000000001</v>
      </c>
      <c r="K405" s="358" t="s">
        <v>470</v>
      </c>
      <c r="L405" s="59"/>
      <c r="M405" s="60" t="s">
        <v>471</v>
      </c>
    </row>
    <row r="406" spans="1:13" ht="84" x14ac:dyDescent="0.2">
      <c r="A406" s="56" t="s">
        <v>1387</v>
      </c>
      <c r="B406" s="277" t="s">
        <v>2813</v>
      </c>
      <c r="C406" s="356" t="s">
        <v>1390</v>
      </c>
      <c r="D406" s="583"/>
      <c r="E406" s="176" t="s">
        <v>473</v>
      </c>
      <c r="F406" s="351" t="s">
        <v>1391</v>
      </c>
      <c r="G406" s="187" t="s">
        <v>78</v>
      </c>
      <c r="H406" s="187" t="s">
        <v>78</v>
      </c>
      <c r="I406" s="188">
        <f>(829818)/1000*$I$5</f>
        <v>829.81799999999998</v>
      </c>
      <c r="J406" s="188">
        <f>I406-(0)/1000*$I$5</f>
        <v>829.81799999999998</v>
      </c>
      <c r="K406" s="358" t="s">
        <v>475</v>
      </c>
      <c r="L406" s="59"/>
      <c r="M406" s="60" t="s">
        <v>473</v>
      </c>
    </row>
    <row r="407" spans="1:13" ht="100.5" customHeight="1" x14ac:dyDescent="0.2">
      <c r="A407" s="56" t="s">
        <v>1388</v>
      </c>
      <c r="B407" s="277" t="s">
        <v>2814</v>
      </c>
      <c r="C407" s="356" t="s">
        <v>474</v>
      </c>
      <c r="D407" s="583"/>
      <c r="E407" s="176" t="s">
        <v>477</v>
      </c>
      <c r="F407" s="351" t="s">
        <v>1436</v>
      </c>
      <c r="G407" s="187" t="s">
        <v>124</v>
      </c>
      <c r="H407" s="187" t="s">
        <v>14</v>
      </c>
      <c r="I407" s="188">
        <f>(100377169)/1000*$I$5</f>
        <v>100377.16899999999</v>
      </c>
      <c r="J407" s="188">
        <f>I407-(25100604.84)/1000*$I$5</f>
        <v>75276.564159999994</v>
      </c>
      <c r="K407" s="358" t="s">
        <v>476</v>
      </c>
      <c r="L407" s="59"/>
      <c r="M407" s="60" t="s">
        <v>477</v>
      </c>
    </row>
    <row r="408" spans="1:13" ht="96" x14ac:dyDescent="0.2">
      <c r="A408" s="56" t="s">
        <v>1389</v>
      </c>
      <c r="B408" s="277" t="s">
        <v>2815</v>
      </c>
      <c r="C408" s="356" t="s">
        <v>1393</v>
      </c>
      <c r="D408" s="583"/>
      <c r="E408" s="176" t="s">
        <v>480</v>
      </c>
      <c r="F408" s="351" t="s">
        <v>1392</v>
      </c>
      <c r="G408" s="187" t="s">
        <v>4</v>
      </c>
      <c r="H408" s="187" t="s">
        <v>24</v>
      </c>
      <c r="I408" s="188">
        <f>(22587631)/1000*$I$5</f>
        <v>22587.631000000001</v>
      </c>
      <c r="J408" s="188">
        <f>I408-(0)/1000*$I$5</f>
        <v>22587.631000000001</v>
      </c>
      <c r="K408" s="358" t="s">
        <v>479</v>
      </c>
      <c r="L408" s="59"/>
      <c r="M408" s="60" t="s">
        <v>480</v>
      </c>
    </row>
    <row r="409" spans="1:13" ht="36" x14ac:dyDescent="0.2">
      <c r="A409" s="56" t="s">
        <v>1395</v>
      </c>
      <c r="B409" s="277" t="s">
        <v>2816</v>
      </c>
      <c r="C409" s="356" t="s">
        <v>481</v>
      </c>
      <c r="D409" s="583"/>
      <c r="E409" s="176" t="s">
        <v>483</v>
      </c>
      <c r="F409" s="351" t="s">
        <v>1394</v>
      </c>
      <c r="G409" s="187" t="s">
        <v>427</v>
      </c>
      <c r="H409" s="187" t="s">
        <v>84</v>
      </c>
      <c r="I409" s="188">
        <f>(24378308.18)/1000*$I$5</f>
        <v>24378.30818</v>
      </c>
      <c r="J409" s="188">
        <f>I409-(3669923.61)/1000*$I$5</f>
        <v>20708.384570000002</v>
      </c>
      <c r="K409" s="358" t="s">
        <v>482</v>
      </c>
      <c r="L409" s="59"/>
      <c r="M409" s="60" t="s">
        <v>483</v>
      </c>
    </row>
    <row r="410" spans="1:13" ht="84" x14ac:dyDescent="0.2">
      <c r="A410" s="56" t="s">
        <v>1396</v>
      </c>
      <c r="B410" s="277" t="s">
        <v>2817</v>
      </c>
      <c r="C410" s="356" t="s">
        <v>484</v>
      </c>
      <c r="D410" s="583"/>
      <c r="E410" s="176" t="s">
        <v>486</v>
      </c>
      <c r="F410" s="351" t="s">
        <v>1437</v>
      </c>
      <c r="G410" s="187" t="s">
        <v>427</v>
      </c>
      <c r="H410" s="189" t="s">
        <v>230</v>
      </c>
      <c r="I410" s="188">
        <f>(18119912)/1000*$I$5</f>
        <v>18119.912</v>
      </c>
      <c r="J410" s="188">
        <f>I410-(0)/1000*$I$5</f>
        <v>18119.912</v>
      </c>
      <c r="K410" s="358" t="s">
        <v>487</v>
      </c>
      <c r="L410" s="59"/>
      <c r="M410" s="60" t="s">
        <v>486</v>
      </c>
    </row>
    <row r="411" spans="1:13" ht="72" x14ac:dyDescent="0.2">
      <c r="A411" s="56" t="s">
        <v>1397</v>
      </c>
      <c r="B411" s="277" t="s">
        <v>2818</v>
      </c>
      <c r="C411" s="356" t="s">
        <v>484</v>
      </c>
      <c r="D411" s="583"/>
      <c r="E411" s="176" t="s">
        <v>490</v>
      </c>
      <c r="F411" s="351" t="s">
        <v>1403</v>
      </c>
      <c r="G411" s="187" t="s">
        <v>427</v>
      </c>
      <c r="H411" s="187" t="s">
        <v>488</v>
      </c>
      <c r="I411" s="188">
        <f>(50693441.39)/1000*$I$5</f>
        <v>50693.44139</v>
      </c>
      <c r="J411" s="188">
        <f>I411-(7118161)/1000*$I$5</f>
        <v>43575.28039</v>
      </c>
      <c r="K411" s="358" t="s">
        <v>489</v>
      </c>
      <c r="L411" s="59"/>
      <c r="M411" s="60" t="s">
        <v>490</v>
      </c>
    </row>
    <row r="412" spans="1:13" ht="108" x14ac:dyDescent="0.2">
      <c r="A412" s="56" t="s">
        <v>1398</v>
      </c>
      <c r="B412" s="277" t="s">
        <v>2819</v>
      </c>
      <c r="C412" s="356" t="s">
        <v>1404</v>
      </c>
      <c r="D412" s="583"/>
      <c r="E412" s="176" t="s">
        <v>493</v>
      </c>
      <c r="F412" s="351" t="s">
        <v>1405</v>
      </c>
      <c r="G412" s="187" t="s">
        <v>230</v>
      </c>
      <c r="H412" s="189" t="s">
        <v>7</v>
      </c>
      <c r="I412" s="188">
        <f>(1289255)/1000*$I$5</f>
        <v>1289.2550000000001</v>
      </c>
      <c r="J412" s="188">
        <f>I412-(0)/1000*$I$5</f>
        <v>1289.2550000000001</v>
      </c>
      <c r="K412" s="358" t="s">
        <v>492</v>
      </c>
      <c r="L412" s="59"/>
      <c r="M412" s="60" t="s">
        <v>493</v>
      </c>
    </row>
    <row r="413" spans="1:13" ht="48" x14ac:dyDescent="0.2">
      <c r="A413" s="56" t="s">
        <v>1399</v>
      </c>
      <c r="B413" s="277" t="s">
        <v>2820</v>
      </c>
      <c r="C413" s="356" t="s">
        <v>1406</v>
      </c>
      <c r="D413" s="583"/>
      <c r="E413" s="176" t="s">
        <v>494</v>
      </c>
      <c r="F413" s="351" t="s">
        <v>1407</v>
      </c>
      <c r="G413" s="187" t="s">
        <v>230</v>
      </c>
      <c r="H413" s="189" t="s">
        <v>7</v>
      </c>
      <c r="I413" s="188">
        <f>(998697)/1000*$I$5</f>
        <v>998.697</v>
      </c>
      <c r="J413" s="188">
        <f>I413-(0)/1000*$I$5</f>
        <v>998.697</v>
      </c>
      <c r="K413" s="358" t="s">
        <v>540</v>
      </c>
      <c r="L413" s="59"/>
      <c r="M413" s="60" t="s">
        <v>494</v>
      </c>
    </row>
    <row r="414" spans="1:13" ht="84" x14ac:dyDescent="0.2">
      <c r="A414" s="56" t="s">
        <v>1400</v>
      </c>
      <c r="B414" s="277" t="s">
        <v>2821</v>
      </c>
      <c r="C414" s="356" t="s">
        <v>497</v>
      </c>
      <c r="D414" s="583"/>
      <c r="E414" s="176" t="s">
        <v>496</v>
      </c>
      <c r="F414" s="351" t="s">
        <v>1408</v>
      </c>
      <c r="G414" s="187" t="s">
        <v>499</v>
      </c>
      <c r="H414" s="189" t="s">
        <v>500</v>
      </c>
      <c r="I414" s="188">
        <f>(4308132)/1000*$I$5</f>
        <v>4308.1319999999996</v>
      </c>
      <c r="J414" s="188">
        <f>I414-(1306408)/1000*$I$5</f>
        <v>3001.7239999999997</v>
      </c>
      <c r="K414" s="358" t="s">
        <v>498</v>
      </c>
      <c r="L414" s="59"/>
      <c r="M414" s="60" t="s">
        <v>496</v>
      </c>
    </row>
    <row r="415" spans="1:13" ht="84" x14ac:dyDescent="0.2">
      <c r="A415" s="56" t="s">
        <v>1401</v>
      </c>
      <c r="B415" s="277" t="s">
        <v>2822</v>
      </c>
      <c r="C415" s="356" t="s">
        <v>1409</v>
      </c>
      <c r="D415" s="583"/>
      <c r="E415" s="176" t="s">
        <v>503</v>
      </c>
      <c r="F415" s="351" t="s">
        <v>1410</v>
      </c>
      <c r="G415" s="187" t="s">
        <v>132</v>
      </c>
      <c r="H415" s="189" t="s">
        <v>9</v>
      </c>
      <c r="I415" s="188">
        <f>(12401096)/1000*$I$5</f>
        <v>12401.096</v>
      </c>
      <c r="J415" s="188">
        <f t="shared" ref="J415:J429" si="15">I415-(0)/1000*$I$5</f>
        <v>12401.096</v>
      </c>
      <c r="K415" s="358" t="s">
        <v>502</v>
      </c>
      <c r="L415" s="59"/>
      <c r="M415" s="60" t="s">
        <v>503</v>
      </c>
    </row>
    <row r="416" spans="1:13" ht="72" x14ac:dyDescent="0.2">
      <c r="A416" s="56" t="s">
        <v>1402</v>
      </c>
      <c r="B416" s="277" t="s">
        <v>2823</v>
      </c>
      <c r="C416" s="356" t="s">
        <v>509</v>
      </c>
      <c r="D416" s="583"/>
      <c r="E416" s="176" t="s">
        <v>504</v>
      </c>
      <c r="F416" s="351" t="s">
        <v>1416</v>
      </c>
      <c r="G416" s="187" t="s">
        <v>7</v>
      </c>
      <c r="H416" s="187" t="s">
        <v>93</v>
      </c>
      <c r="I416" s="188">
        <f>(1022700)/1000*$I$5</f>
        <v>1022.7</v>
      </c>
      <c r="J416" s="188">
        <f t="shared" si="15"/>
        <v>1022.7</v>
      </c>
      <c r="K416" s="358" t="s">
        <v>505</v>
      </c>
      <c r="L416" s="59"/>
      <c r="M416" s="60" t="s">
        <v>504</v>
      </c>
    </row>
    <row r="417" spans="1:13" ht="84" x14ac:dyDescent="0.2">
      <c r="A417" s="56" t="s">
        <v>1411</v>
      </c>
      <c r="B417" s="277" t="s">
        <v>2824</v>
      </c>
      <c r="C417" s="356" t="s">
        <v>509</v>
      </c>
      <c r="D417" s="583"/>
      <c r="E417" s="176" t="s">
        <v>506</v>
      </c>
      <c r="F417" s="351" t="s">
        <v>1417</v>
      </c>
      <c r="G417" s="187" t="s">
        <v>508</v>
      </c>
      <c r="H417" s="187" t="s">
        <v>86</v>
      </c>
      <c r="I417" s="188">
        <f>(8552344)/1000*$I$5</f>
        <v>8552.3439999999991</v>
      </c>
      <c r="J417" s="188">
        <f t="shared" si="15"/>
        <v>8552.3439999999991</v>
      </c>
      <c r="K417" s="358" t="s">
        <v>507</v>
      </c>
      <c r="L417" s="59"/>
      <c r="M417" s="60" t="s">
        <v>506</v>
      </c>
    </row>
    <row r="418" spans="1:13" ht="96" x14ac:dyDescent="0.2">
      <c r="A418" s="56" t="s">
        <v>1412</v>
      </c>
      <c r="B418" s="277" t="s">
        <v>2825</v>
      </c>
      <c r="C418" s="356" t="s">
        <v>1418</v>
      </c>
      <c r="D418" s="583"/>
      <c r="E418" s="176" t="s">
        <v>510</v>
      </c>
      <c r="F418" s="351" t="s">
        <v>1419</v>
      </c>
      <c r="G418" s="187" t="s">
        <v>86</v>
      </c>
      <c r="H418" s="187" t="s">
        <v>511</v>
      </c>
      <c r="I418" s="188">
        <f>(1554362)/1000*$I$5</f>
        <v>1554.3620000000001</v>
      </c>
      <c r="J418" s="188">
        <f t="shared" si="15"/>
        <v>1554.3620000000001</v>
      </c>
      <c r="K418" s="358" t="s">
        <v>512</v>
      </c>
      <c r="L418" s="59"/>
      <c r="M418" s="60" t="s">
        <v>510</v>
      </c>
    </row>
    <row r="419" spans="1:13" ht="48" x14ac:dyDescent="0.2">
      <c r="A419" s="56" t="s">
        <v>1413</v>
      </c>
      <c r="B419" s="277" t="s">
        <v>2826</v>
      </c>
      <c r="C419" s="356" t="s">
        <v>1420</v>
      </c>
      <c r="D419" s="583"/>
      <c r="E419" s="176" t="s">
        <v>513</v>
      </c>
      <c r="F419" s="351" t="s">
        <v>515</v>
      </c>
      <c r="G419" s="187" t="s">
        <v>511</v>
      </c>
      <c r="H419" s="187" t="s">
        <v>95</v>
      </c>
      <c r="I419" s="188">
        <f>(5110000)/1000*$I$5</f>
        <v>5110</v>
      </c>
      <c r="J419" s="188">
        <f t="shared" si="15"/>
        <v>5110</v>
      </c>
      <c r="K419" s="358" t="s">
        <v>515</v>
      </c>
      <c r="L419" s="59"/>
      <c r="M419" s="60" t="s">
        <v>513</v>
      </c>
    </row>
    <row r="420" spans="1:13" ht="72" x14ac:dyDescent="0.2">
      <c r="A420" s="56" t="s">
        <v>1414</v>
      </c>
      <c r="B420" s="277" t="s">
        <v>2827</v>
      </c>
      <c r="C420" s="356" t="s">
        <v>1421</v>
      </c>
      <c r="D420" s="583"/>
      <c r="E420" s="176" t="s">
        <v>516</v>
      </c>
      <c r="F420" s="351" t="s">
        <v>1438</v>
      </c>
      <c r="G420" s="187" t="s">
        <v>58</v>
      </c>
      <c r="H420" s="187" t="s">
        <v>58</v>
      </c>
      <c r="I420" s="188">
        <f>(3205702)/1000*$I$5</f>
        <v>3205.7020000000002</v>
      </c>
      <c r="J420" s="188">
        <f t="shared" si="15"/>
        <v>3205.7020000000002</v>
      </c>
      <c r="K420" s="358" t="s">
        <v>482</v>
      </c>
      <c r="L420" s="59"/>
      <c r="M420" s="60" t="s">
        <v>516</v>
      </c>
    </row>
    <row r="421" spans="1:13" ht="84" x14ac:dyDescent="0.2">
      <c r="A421" s="56" t="s">
        <v>1415</v>
      </c>
      <c r="B421" s="277" t="s">
        <v>2828</v>
      </c>
      <c r="C421" s="356" t="s">
        <v>542</v>
      </c>
      <c r="D421" s="583"/>
      <c r="E421" s="176" t="s">
        <v>522</v>
      </c>
      <c r="F421" s="351" t="s">
        <v>1439</v>
      </c>
      <c r="G421" s="187" t="s">
        <v>91</v>
      </c>
      <c r="H421" s="189" t="s">
        <v>139</v>
      </c>
      <c r="I421" s="188">
        <f>(9056742)/1000*$I$5</f>
        <v>9056.7420000000002</v>
      </c>
      <c r="J421" s="188">
        <f t="shared" si="15"/>
        <v>9056.7420000000002</v>
      </c>
      <c r="K421" s="358" t="s">
        <v>521</v>
      </c>
      <c r="L421" s="59"/>
      <c r="M421" s="60" t="s">
        <v>518</v>
      </c>
    </row>
    <row r="422" spans="1:13" ht="156" x14ac:dyDescent="0.2">
      <c r="A422" s="56" t="s">
        <v>1423</v>
      </c>
      <c r="B422" s="277" t="s">
        <v>2829</v>
      </c>
      <c r="C422" s="356" t="s">
        <v>542</v>
      </c>
      <c r="D422" s="583"/>
      <c r="E422" s="176" t="s">
        <v>520</v>
      </c>
      <c r="F422" s="351" t="s">
        <v>1422</v>
      </c>
      <c r="G422" s="187" t="s">
        <v>211</v>
      </c>
      <c r="H422" s="189" t="s">
        <v>519</v>
      </c>
      <c r="I422" s="188">
        <f>(5120965)/1000*$I$5</f>
        <v>5120.9650000000001</v>
      </c>
      <c r="J422" s="188">
        <f t="shared" si="15"/>
        <v>5120.9650000000001</v>
      </c>
      <c r="K422" s="358" t="s">
        <v>790</v>
      </c>
      <c r="L422" s="59"/>
      <c r="M422" s="60" t="s">
        <v>522</v>
      </c>
    </row>
    <row r="423" spans="1:13" ht="84" x14ac:dyDescent="0.2">
      <c r="A423" s="56" t="s">
        <v>1424</v>
      </c>
      <c r="B423" s="277" t="s">
        <v>2830</v>
      </c>
      <c r="C423" s="356" t="s">
        <v>1427</v>
      </c>
      <c r="D423" s="583"/>
      <c r="E423" s="176" t="s">
        <v>524</v>
      </c>
      <c r="F423" s="351" t="s">
        <v>1428</v>
      </c>
      <c r="G423" s="187" t="s">
        <v>101</v>
      </c>
      <c r="H423" s="189" t="s">
        <v>141</v>
      </c>
      <c r="I423" s="188">
        <f>(3928184)/1000*$I$5</f>
        <v>3928.1840000000002</v>
      </c>
      <c r="J423" s="188">
        <f t="shared" si="15"/>
        <v>3928.1840000000002</v>
      </c>
      <c r="K423" s="358"/>
      <c r="L423" s="59"/>
      <c r="M423" s="60" t="s">
        <v>520</v>
      </c>
    </row>
    <row r="424" spans="1:13" ht="84" x14ac:dyDescent="0.2">
      <c r="A424" s="56" t="s">
        <v>1425</v>
      </c>
      <c r="B424" s="277" t="s">
        <v>2831</v>
      </c>
      <c r="C424" s="356" t="s">
        <v>526</v>
      </c>
      <c r="D424" s="583"/>
      <c r="E424" s="176" t="s">
        <v>527</v>
      </c>
      <c r="F424" s="351" t="s">
        <v>1429</v>
      </c>
      <c r="G424" s="187" t="s">
        <v>104</v>
      </c>
      <c r="H424" s="189" t="s">
        <v>20</v>
      </c>
      <c r="I424" s="188">
        <f>(1807561)/1000*$I$5</f>
        <v>1807.5609999999999</v>
      </c>
      <c r="J424" s="188">
        <f t="shared" si="15"/>
        <v>1807.5609999999999</v>
      </c>
      <c r="K424" s="358" t="s">
        <v>422</v>
      </c>
      <c r="L424" s="59"/>
      <c r="M424" s="60" t="s">
        <v>527</v>
      </c>
    </row>
    <row r="425" spans="1:13" ht="132" x14ac:dyDescent="0.2">
      <c r="A425" s="56" t="s">
        <v>1426</v>
      </c>
      <c r="B425" s="277" t="s">
        <v>2832</v>
      </c>
      <c r="C425" s="356" t="s">
        <v>529</v>
      </c>
      <c r="D425" s="583"/>
      <c r="E425" s="176" t="s">
        <v>532</v>
      </c>
      <c r="F425" s="351" t="s">
        <v>1430</v>
      </c>
      <c r="G425" s="187" t="s">
        <v>107</v>
      </c>
      <c r="H425" s="189" t="s">
        <v>531</v>
      </c>
      <c r="I425" s="188">
        <f>(3056511)/1000*$I$5</f>
        <v>3056.511</v>
      </c>
      <c r="J425" s="188">
        <f t="shared" si="15"/>
        <v>3056.511</v>
      </c>
      <c r="K425" s="358" t="s">
        <v>530</v>
      </c>
      <c r="L425" s="59"/>
      <c r="M425" s="60" t="s">
        <v>532</v>
      </c>
    </row>
    <row r="426" spans="1:13" ht="84" x14ac:dyDescent="0.2">
      <c r="A426" s="75" t="s">
        <v>1433</v>
      </c>
      <c r="B426" s="277" t="s">
        <v>2833</v>
      </c>
      <c r="C426" s="356" t="s">
        <v>1431</v>
      </c>
      <c r="D426" s="583"/>
      <c r="E426" s="176" t="s">
        <v>533</v>
      </c>
      <c r="F426" s="351" t="s">
        <v>1432</v>
      </c>
      <c r="G426" s="187" t="s">
        <v>107</v>
      </c>
      <c r="H426" s="189" t="s">
        <v>17</v>
      </c>
      <c r="I426" s="188">
        <f>(1909267+4614410)/1000*$I$5</f>
        <v>6523.6769999999997</v>
      </c>
      <c r="J426" s="188">
        <f t="shared" si="15"/>
        <v>6523.6769999999997</v>
      </c>
      <c r="K426" s="358" t="s">
        <v>535</v>
      </c>
      <c r="L426" s="59"/>
      <c r="M426" s="60" t="s">
        <v>533</v>
      </c>
    </row>
    <row r="427" spans="1:13" s="281" customFormat="1" ht="60" x14ac:dyDescent="0.2">
      <c r="A427" s="56" t="s">
        <v>1884</v>
      </c>
      <c r="B427" s="277" t="s">
        <v>2834</v>
      </c>
      <c r="C427" s="297" t="s">
        <v>2964</v>
      </c>
      <c r="D427" s="583"/>
      <c r="E427" s="278" t="s">
        <v>1744</v>
      </c>
      <c r="F427" s="367" t="s">
        <v>1746</v>
      </c>
      <c r="G427" s="277" t="s">
        <v>1606</v>
      </c>
      <c r="H427" s="284" t="s">
        <v>1559</v>
      </c>
      <c r="I427" s="279">
        <f>(1000000)/1000*$I$5</f>
        <v>1000</v>
      </c>
      <c r="J427" s="279">
        <f t="shared" si="15"/>
        <v>1000</v>
      </c>
      <c r="K427" s="367" t="s">
        <v>1745</v>
      </c>
      <c r="L427" s="283"/>
    </row>
    <row r="428" spans="1:13" s="281" customFormat="1" ht="72" x14ac:dyDescent="0.2">
      <c r="A428" s="75" t="s">
        <v>1885</v>
      </c>
      <c r="B428" s="277" t="s">
        <v>2835</v>
      </c>
      <c r="C428" s="297" t="s">
        <v>1752</v>
      </c>
      <c r="D428" s="583"/>
      <c r="E428" s="278" t="s">
        <v>1747</v>
      </c>
      <c r="F428" s="367" t="s">
        <v>2965</v>
      </c>
      <c r="G428" s="277" t="s">
        <v>11</v>
      </c>
      <c r="H428" s="284" t="s">
        <v>1606</v>
      </c>
      <c r="I428" s="279">
        <f>(368148/1000*$I$5)</f>
        <v>368.14800000000002</v>
      </c>
      <c r="J428" s="279">
        <f t="shared" si="15"/>
        <v>368.14800000000002</v>
      </c>
      <c r="K428" s="367"/>
      <c r="L428" s="283"/>
    </row>
    <row r="429" spans="1:13" s="281" customFormat="1" ht="36" x14ac:dyDescent="0.2">
      <c r="A429" s="56" t="s">
        <v>1886</v>
      </c>
      <c r="B429" s="277" t="s">
        <v>2836</v>
      </c>
      <c r="C429" s="297" t="s">
        <v>2966</v>
      </c>
      <c r="D429" s="583"/>
      <c r="E429" s="278" t="s">
        <v>1748</v>
      </c>
      <c r="F429" s="367" t="s">
        <v>1750</v>
      </c>
      <c r="G429" s="277" t="s">
        <v>1606</v>
      </c>
      <c r="H429" s="284" t="s">
        <v>21</v>
      </c>
      <c r="I429" s="279">
        <f>(333104)/1000*$I$5</f>
        <v>333.10399999999998</v>
      </c>
      <c r="J429" s="279">
        <f t="shared" si="15"/>
        <v>333.10399999999998</v>
      </c>
      <c r="K429" s="367" t="s">
        <v>1753</v>
      </c>
      <c r="L429" s="283"/>
    </row>
    <row r="430" spans="1:13" s="281" customFormat="1" ht="72" x14ac:dyDescent="0.2">
      <c r="A430" s="75" t="s">
        <v>1887</v>
      </c>
      <c r="B430" s="277" t="s">
        <v>2837</v>
      </c>
      <c r="C430" s="297" t="s">
        <v>1754</v>
      </c>
      <c r="D430" s="583"/>
      <c r="E430" s="278" t="s">
        <v>1749</v>
      </c>
      <c r="F430" s="367" t="s">
        <v>1751</v>
      </c>
      <c r="G430" s="277" t="s">
        <v>11</v>
      </c>
      <c r="H430" s="284" t="s">
        <v>531</v>
      </c>
      <c r="I430" s="279">
        <f>(411295)/1000*$I$5</f>
        <v>411.29500000000002</v>
      </c>
      <c r="J430" s="279">
        <f>I430-(401012)/1000*$I$5</f>
        <v>10.283000000000015</v>
      </c>
      <c r="K430" s="367"/>
      <c r="L430" s="283"/>
    </row>
    <row r="431" spans="1:13" s="281" customFormat="1" ht="48" x14ac:dyDescent="0.2">
      <c r="A431" s="56" t="s">
        <v>1888</v>
      </c>
      <c r="B431" s="277" t="s">
        <v>2838</v>
      </c>
      <c r="C431" s="297" t="s">
        <v>1773</v>
      </c>
      <c r="D431" s="583"/>
      <c r="E431" s="278" t="s">
        <v>1755</v>
      </c>
      <c r="F431" s="367" t="s">
        <v>2967</v>
      </c>
      <c r="G431" s="277" t="s">
        <v>21</v>
      </c>
      <c r="H431" s="284" t="s">
        <v>19</v>
      </c>
      <c r="I431" s="279">
        <f>(780087)/1000*$I$5</f>
        <v>780.08699999999999</v>
      </c>
      <c r="J431" s="279">
        <f>I431-(0)/1000*$I$5</f>
        <v>780.08699999999999</v>
      </c>
      <c r="K431" s="367"/>
      <c r="L431" s="283"/>
    </row>
    <row r="432" spans="1:13" s="281" customFormat="1" ht="60" x14ac:dyDescent="0.2">
      <c r="A432" s="75" t="s">
        <v>1889</v>
      </c>
      <c r="B432" s="277" t="s">
        <v>2839</v>
      </c>
      <c r="C432" s="297" t="s">
        <v>1763</v>
      </c>
      <c r="D432" s="583"/>
      <c r="E432" s="278" t="s">
        <v>1756</v>
      </c>
      <c r="F432" s="367" t="s">
        <v>1764</v>
      </c>
      <c r="G432" s="277" t="s">
        <v>20</v>
      </c>
      <c r="H432" s="284" t="s">
        <v>63</v>
      </c>
      <c r="I432" s="279">
        <f>(279729)/1000*$I$5</f>
        <v>279.72899999999998</v>
      </c>
      <c r="J432" s="279">
        <f t="shared" ref="J432:J438" si="16">I432-(0)/1000*$I$5</f>
        <v>279.72899999999998</v>
      </c>
      <c r="K432" s="367"/>
      <c r="L432" s="283"/>
    </row>
    <row r="433" spans="1:12" s="281" customFormat="1" ht="65.25" customHeight="1" x14ac:dyDescent="0.2">
      <c r="A433" s="56" t="s">
        <v>1890</v>
      </c>
      <c r="B433" s="277" t="s">
        <v>2840</v>
      </c>
      <c r="C433" s="297" t="s">
        <v>1765</v>
      </c>
      <c r="D433" s="583"/>
      <c r="E433" s="278" t="s">
        <v>1757</v>
      </c>
      <c r="F433" s="367" t="s">
        <v>1766</v>
      </c>
      <c r="G433" s="277" t="s">
        <v>18</v>
      </c>
      <c r="H433" s="284" t="s">
        <v>20</v>
      </c>
      <c r="I433" s="279">
        <f>(61910)/1000*$I$5</f>
        <v>61.91</v>
      </c>
      <c r="J433" s="279">
        <f t="shared" si="16"/>
        <v>61.91</v>
      </c>
      <c r="K433" s="367"/>
      <c r="L433" s="283"/>
    </row>
    <row r="434" spans="1:12" s="281" customFormat="1" ht="60" x14ac:dyDescent="0.2">
      <c r="A434" s="75" t="s">
        <v>1891</v>
      </c>
      <c r="B434" s="277" t="s">
        <v>2841</v>
      </c>
      <c r="C434" s="297" t="s">
        <v>1767</v>
      </c>
      <c r="D434" s="583"/>
      <c r="E434" s="278" t="s">
        <v>1758</v>
      </c>
      <c r="F434" s="367" t="s">
        <v>1768</v>
      </c>
      <c r="G434" s="277" t="s">
        <v>20</v>
      </c>
      <c r="H434" s="284" t="s">
        <v>20</v>
      </c>
      <c r="I434" s="279">
        <f>(1181433)/1000*$I$5</f>
        <v>1181.433</v>
      </c>
      <c r="J434" s="279">
        <f t="shared" si="16"/>
        <v>1181.433</v>
      </c>
      <c r="K434" s="367"/>
      <c r="L434" s="283"/>
    </row>
    <row r="435" spans="1:12" s="281" customFormat="1" ht="48" x14ac:dyDescent="0.2">
      <c r="A435" s="56" t="s">
        <v>1892</v>
      </c>
      <c r="B435" s="277" t="s">
        <v>2842</v>
      </c>
      <c r="C435" s="297" t="s">
        <v>1770</v>
      </c>
      <c r="D435" s="583"/>
      <c r="E435" s="278" t="s">
        <v>1771</v>
      </c>
      <c r="F435" s="367" t="s">
        <v>1769</v>
      </c>
      <c r="G435" s="277" t="s">
        <v>63</v>
      </c>
      <c r="H435" s="284" t="s">
        <v>15</v>
      </c>
      <c r="I435" s="279">
        <f>(587068)/1000*$I$5</f>
        <v>587.06799999999998</v>
      </c>
      <c r="J435" s="279">
        <f t="shared" si="16"/>
        <v>587.06799999999998</v>
      </c>
      <c r="K435" s="367"/>
      <c r="L435" s="283"/>
    </row>
    <row r="436" spans="1:12" s="281" customFormat="1" ht="72" x14ac:dyDescent="0.2">
      <c r="A436" s="75" t="s">
        <v>1893</v>
      </c>
      <c r="B436" s="277" t="s">
        <v>2843</v>
      </c>
      <c r="C436" s="297" t="s">
        <v>1772</v>
      </c>
      <c r="D436" s="583"/>
      <c r="E436" s="278" t="s">
        <v>1759</v>
      </c>
      <c r="F436" s="367" t="s">
        <v>1842</v>
      </c>
      <c r="G436" s="277" t="s">
        <v>18</v>
      </c>
      <c r="H436" s="284" t="s">
        <v>63</v>
      </c>
      <c r="I436" s="279">
        <f>(2650496)/1000*$I$5</f>
        <v>2650.4960000000001</v>
      </c>
      <c r="J436" s="279">
        <f>I436-(350000)/1000*$I$5</f>
        <v>2300.4960000000001</v>
      </c>
      <c r="K436" s="367"/>
      <c r="L436" s="283"/>
    </row>
    <row r="437" spans="1:12" s="281" customFormat="1" ht="72" x14ac:dyDescent="0.2">
      <c r="A437" s="56" t="s">
        <v>1894</v>
      </c>
      <c r="B437" s="277" t="s">
        <v>2844</v>
      </c>
      <c r="C437" s="297" t="s">
        <v>1773</v>
      </c>
      <c r="D437" s="583"/>
      <c r="E437" s="278" t="s">
        <v>1760</v>
      </c>
      <c r="F437" s="367" t="s">
        <v>2968</v>
      </c>
      <c r="G437" s="277" t="s">
        <v>63</v>
      </c>
      <c r="H437" s="284" t="s">
        <v>63</v>
      </c>
      <c r="I437" s="279">
        <f>(727460)/1000*$I$5</f>
        <v>727.46</v>
      </c>
      <c r="J437" s="279">
        <f t="shared" si="16"/>
        <v>727.46</v>
      </c>
      <c r="K437" s="367"/>
      <c r="L437" s="283"/>
    </row>
    <row r="438" spans="1:12" s="281" customFormat="1" ht="180" x14ac:dyDescent="0.2">
      <c r="A438" s="75" t="s">
        <v>1895</v>
      </c>
      <c r="B438" s="277" t="s">
        <v>2845</v>
      </c>
      <c r="C438" s="297" t="s">
        <v>1774</v>
      </c>
      <c r="D438" s="583"/>
      <c r="E438" s="278" t="s">
        <v>1761</v>
      </c>
      <c r="F438" s="367" t="s">
        <v>1775</v>
      </c>
      <c r="G438" s="277" t="s">
        <v>20</v>
      </c>
      <c r="H438" s="284" t="s">
        <v>63</v>
      </c>
      <c r="I438" s="279">
        <f>(1517435)/1000*$I$5</f>
        <v>1517.4349999999999</v>
      </c>
      <c r="J438" s="279">
        <f t="shared" si="16"/>
        <v>1517.4349999999999</v>
      </c>
      <c r="K438" s="367"/>
      <c r="L438" s="283"/>
    </row>
    <row r="439" spans="1:12" s="281" customFormat="1" ht="48" x14ac:dyDescent="0.2">
      <c r="A439" s="56" t="s">
        <v>1896</v>
      </c>
      <c r="B439" s="277" t="s">
        <v>2846</v>
      </c>
      <c r="C439" s="297" t="s">
        <v>1783</v>
      </c>
      <c r="D439" s="583"/>
      <c r="E439" s="278" t="s">
        <v>1776</v>
      </c>
      <c r="F439" s="367" t="s">
        <v>1784</v>
      </c>
      <c r="G439" s="277" t="s">
        <v>63</v>
      </c>
      <c r="H439" s="284" t="s">
        <v>1554</v>
      </c>
      <c r="I439" s="279">
        <f>(3373345)/1000*$I$5</f>
        <v>3373.3449999999998</v>
      </c>
      <c r="J439" s="279">
        <f t="shared" ref="J439:J488" si="17">I439-(0)/1000*$I$5</f>
        <v>3373.3449999999998</v>
      </c>
      <c r="K439" s="367"/>
      <c r="L439" s="283"/>
    </row>
    <row r="440" spans="1:12" s="281" customFormat="1" ht="48" x14ac:dyDescent="0.2">
      <c r="A440" s="75" t="s">
        <v>1897</v>
      </c>
      <c r="B440" s="277" t="s">
        <v>2847</v>
      </c>
      <c r="C440" s="297" t="s">
        <v>1786</v>
      </c>
      <c r="D440" s="583"/>
      <c r="E440" s="278" t="s">
        <v>1777</v>
      </c>
      <c r="F440" s="367" t="s">
        <v>1785</v>
      </c>
      <c r="G440" s="277" t="s">
        <v>1554</v>
      </c>
      <c r="H440" s="284" t="s">
        <v>1554</v>
      </c>
      <c r="I440" s="279">
        <f>(122097)/1000*$I$5</f>
        <v>122.09699999999999</v>
      </c>
      <c r="J440" s="279">
        <f t="shared" si="17"/>
        <v>122.09699999999999</v>
      </c>
      <c r="K440" s="367" t="s">
        <v>2969</v>
      </c>
      <c r="L440" s="283"/>
    </row>
    <row r="441" spans="1:12" s="281" customFormat="1" ht="96" x14ac:dyDescent="0.2">
      <c r="A441" s="56" t="s">
        <v>1898</v>
      </c>
      <c r="B441" s="277" t="s">
        <v>2848</v>
      </c>
      <c r="C441" s="297" t="s">
        <v>1787</v>
      </c>
      <c r="D441" s="583"/>
      <c r="E441" s="278" t="s">
        <v>1778</v>
      </c>
      <c r="F441" s="367" t="s">
        <v>1788</v>
      </c>
      <c r="G441" s="277" t="s">
        <v>19</v>
      </c>
      <c r="H441" s="284" t="s">
        <v>19</v>
      </c>
      <c r="I441" s="279">
        <f>(637224)/1000*$I$5</f>
        <v>637.22400000000005</v>
      </c>
      <c r="J441" s="279">
        <f t="shared" si="17"/>
        <v>637.22400000000005</v>
      </c>
      <c r="K441" s="367"/>
      <c r="L441" s="283"/>
    </row>
    <row r="442" spans="1:12" s="281" customFormat="1" ht="96" x14ac:dyDescent="0.2">
      <c r="A442" s="75" t="s">
        <v>1899</v>
      </c>
      <c r="B442" s="277" t="s">
        <v>2849</v>
      </c>
      <c r="C442" s="297" t="s">
        <v>1790</v>
      </c>
      <c r="D442" s="583"/>
      <c r="E442" s="278" t="s">
        <v>1795</v>
      </c>
      <c r="F442" s="367" t="s">
        <v>1789</v>
      </c>
      <c r="G442" s="277" t="s">
        <v>17</v>
      </c>
      <c r="H442" s="284" t="s">
        <v>15</v>
      </c>
      <c r="I442" s="279">
        <f>(1153170)/1000*$I$5</f>
        <v>1153.17</v>
      </c>
      <c r="J442" s="279">
        <f t="shared" si="17"/>
        <v>1153.17</v>
      </c>
      <c r="K442" s="367"/>
      <c r="L442" s="283"/>
    </row>
    <row r="443" spans="1:12" s="281" customFormat="1" ht="36" x14ac:dyDescent="0.2">
      <c r="A443" s="56" t="s">
        <v>1900</v>
      </c>
      <c r="B443" s="277" t="s">
        <v>2850</v>
      </c>
      <c r="C443" s="297" t="s">
        <v>1792</v>
      </c>
      <c r="D443" s="583"/>
      <c r="E443" s="278" t="s">
        <v>1779</v>
      </c>
      <c r="F443" s="367" t="s">
        <v>1791</v>
      </c>
      <c r="G443" s="277" t="s">
        <v>17</v>
      </c>
      <c r="H443" s="284" t="s">
        <v>598</v>
      </c>
      <c r="I443" s="279">
        <f>(3359181)/1000*$I$5</f>
        <v>3359.181</v>
      </c>
      <c r="J443" s="279">
        <f t="shared" si="17"/>
        <v>3359.181</v>
      </c>
      <c r="K443" s="367"/>
      <c r="L443" s="283"/>
    </row>
    <row r="444" spans="1:12" s="281" customFormat="1" ht="48" x14ac:dyDescent="0.2">
      <c r="A444" s="75" t="s">
        <v>1901</v>
      </c>
      <c r="B444" s="277" t="s">
        <v>2851</v>
      </c>
      <c r="C444" s="297" t="s">
        <v>1793</v>
      </c>
      <c r="D444" s="583"/>
      <c r="E444" s="278" t="s">
        <v>1796</v>
      </c>
      <c r="F444" s="367" t="s">
        <v>1794</v>
      </c>
      <c r="G444" s="277" t="s">
        <v>17</v>
      </c>
      <c r="H444" s="284" t="s">
        <v>610</v>
      </c>
      <c r="I444" s="279">
        <f>(4255000)/1000*$I$5</f>
        <v>4255</v>
      </c>
      <c r="J444" s="279">
        <f t="shared" si="17"/>
        <v>4255</v>
      </c>
      <c r="K444" s="367"/>
      <c r="L444" s="283"/>
    </row>
    <row r="445" spans="1:12" s="281" customFormat="1" ht="96" x14ac:dyDescent="0.2">
      <c r="A445" s="56" t="s">
        <v>1902</v>
      </c>
      <c r="B445" s="277" t="s">
        <v>2852</v>
      </c>
      <c r="C445" s="297" t="s">
        <v>1799</v>
      </c>
      <c r="D445" s="583"/>
      <c r="E445" s="278" t="s">
        <v>1797</v>
      </c>
      <c r="F445" s="367" t="s">
        <v>1798</v>
      </c>
      <c r="G445" s="277" t="s">
        <v>19</v>
      </c>
      <c r="H445" s="284" t="s">
        <v>1721</v>
      </c>
      <c r="I445" s="279">
        <f>(353828)/1000*$I$5</f>
        <v>353.82799999999997</v>
      </c>
      <c r="J445" s="279">
        <f t="shared" si="17"/>
        <v>353.82799999999997</v>
      </c>
      <c r="K445" s="367"/>
      <c r="L445" s="283"/>
    </row>
    <row r="446" spans="1:12" s="281" customFormat="1" ht="66" customHeight="1" x14ac:dyDescent="0.2">
      <c r="A446" s="75" t="s">
        <v>1903</v>
      </c>
      <c r="B446" s="277" t="s">
        <v>2853</v>
      </c>
      <c r="C446" s="297" t="s">
        <v>1801</v>
      </c>
      <c r="D446" s="583"/>
      <c r="E446" s="278" t="s">
        <v>1780</v>
      </c>
      <c r="F446" s="367" t="s">
        <v>1800</v>
      </c>
      <c r="G446" s="277" t="s">
        <v>19</v>
      </c>
      <c r="H446" s="284" t="s">
        <v>15</v>
      </c>
      <c r="I446" s="279">
        <f>(1213435)/1000*$I$5</f>
        <v>1213.4349999999999</v>
      </c>
      <c r="J446" s="279">
        <f t="shared" si="17"/>
        <v>1213.4349999999999</v>
      </c>
      <c r="K446" s="367"/>
      <c r="L446" s="283"/>
    </row>
    <row r="447" spans="1:12" s="281" customFormat="1" ht="100.5" customHeight="1" x14ac:dyDescent="0.2">
      <c r="A447" s="56" t="s">
        <v>1904</v>
      </c>
      <c r="B447" s="277" t="s">
        <v>2854</v>
      </c>
      <c r="C447" s="297" t="s">
        <v>1802</v>
      </c>
      <c r="D447" s="583"/>
      <c r="E447" s="278" t="s">
        <v>1781</v>
      </c>
      <c r="F447" s="367" t="s">
        <v>2970</v>
      </c>
      <c r="G447" s="277" t="s">
        <v>19</v>
      </c>
      <c r="H447" s="284" t="s">
        <v>610</v>
      </c>
      <c r="I447" s="279">
        <f>(1630446)/1000*$I$5</f>
        <v>1630.4459999999999</v>
      </c>
      <c r="J447" s="279">
        <f t="shared" si="17"/>
        <v>1630.4459999999999</v>
      </c>
      <c r="K447" s="367"/>
      <c r="L447" s="283"/>
    </row>
    <row r="448" spans="1:12" s="281" customFormat="1" ht="60" x14ac:dyDescent="0.2">
      <c r="A448" s="75" t="s">
        <v>1905</v>
      </c>
      <c r="B448" s="277" t="s">
        <v>2855</v>
      </c>
      <c r="C448" s="297" t="s">
        <v>1804</v>
      </c>
      <c r="D448" s="583"/>
      <c r="E448" s="278" t="s">
        <v>1782</v>
      </c>
      <c r="F448" s="367" t="s">
        <v>1803</v>
      </c>
      <c r="G448" s="277" t="s">
        <v>19</v>
      </c>
      <c r="H448" s="284" t="s">
        <v>598</v>
      </c>
      <c r="I448" s="279">
        <f>(2036726)/1000*$I$5</f>
        <v>2036.7260000000001</v>
      </c>
      <c r="J448" s="279">
        <f t="shared" si="17"/>
        <v>2036.7260000000001</v>
      </c>
      <c r="K448" s="367"/>
      <c r="L448" s="283"/>
    </row>
    <row r="449" spans="1:12" s="281" customFormat="1" ht="93.75" customHeight="1" x14ac:dyDescent="0.2">
      <c r="A449" s="56" t="s">
        <v>1906</v>
      </c>
      <c r="B449" s="277" t="s">
        <v>2856</v>
      </c>
      <c r="C449" s="297" t="s">
        <v>1807</v>
      </c>
      <c r="D449" s="583"/>
      <c r="E449" s="278" t="s">
        <v>1806</v>
      </c>
      <c r="F449" s="367" t="s">
        <v>1805</v>
      </c>
      <c r="G449" s="277" t="s">
        <v>1559</v>
      </c>
      <c r="H449" s="284" t="s">
        <v>610</v>
      </c>
      <c r="I449" s="279">
        <f>(2200000)/1000*$I$5</f>
        <v>2200</v>
      </c>
      <c r="J449" s="279">
        <f t="shared" si="17"/>
        <v>2200</v>
      </c>
      <c r="K449" s="367"/>
      <c r="L449" s="283"/>
    </row>
    <row r="450" spans="1:12" s="281" customFormat="1" ht="60" x14ac:dyDescent="0.2">
      <c r="A450" s="75" t="s">
        <v>1907</v>
      </c>
      <c r="B450" s="277" t="s">
        <v>2857</v>
      </c>
      <c r="C450" s="297" t="s">
        <v>1829</v>
      </c>
      <c r="D450" s="583"/>
      <c r="E450" s="278" t="s">
        <v>1808</v>
      </c>
      <c r="F450" s="367" t="s">
        <v>1828</v>
      </c>
      <c r="G450" s="277" t="s">
        <v>613</v>
      </c>
      <c r="H450" s="284" t="s">
        <v>1830</v>
      </c>
      <c r="I450" s="279">
        <f>(546921)/1000*$I$5</f>
        <v>546.92100000000005</v>
      </c>
      <c r="J450" s="279">
        <f t="shared" si="17"/>
        <v>546.92100000000005</v>
      </c>
      <c r="K450" s="367"/>
      <c r="L450" s="283"/>
    </row>
    <row r="451" spans="1:12" s="281" customFormat="1" ht="60" x14ac:dyDescent="0.2">
      <c r="A451" s="56" t="s">
        <v>1908</v>
      </c>
      <c r="B451" s="277" t="s">
        <v>2858</v>
      </c>
      <c r="C451" s="297" t="s">
        <v>1832</v>
      </c>
      <c r="D451" s="583"/>
      <c r="E451" s="278" t="s">
        <v>1809</v>
      </c>
      <c r="F451" s="367" t="s">
        <v>1831</v>
      </c>
      <c r="G451" s="277" t="s">
        <v>1677</v>
      </c>
      <c r="H451" s="284" t="s">
        <v>1737</v>
      </c>
      <c r="I451" s="279">
        <f>(5823413)/1000*$I$5</f>
        <v>5823.4129999999996</v>
      </c>
      <c r="J451" s="279">
        <f>I451-(0)/1000*$I$5</f>
        <v>5823.4129999999996</v>
      </c>
      <c r="K451" s="367"/>
      <c r="L451" s="283"/>
    </row>
    <row r="452" spans="1:12" s="281" customFormat="1" ht="72" x14ac:dyDescent="0.2">
      <c r="A452" s="75" t="s">
        <v>1909</v>
      </c>
      <c r="B452" s="277" t="s">
        <v>2859</v>
      </c>
      <c r="C452" s="297" t="s">
        <v>1765</v>
      </c>
      <c r="D452" s="583"/>
      <c r="E452" s="278" t="s">
        <v>1810</v>
      </c>
      <c r="F452" s="367" t="s">
        <v>1833</v>
      </c>
      <c r="G452" s="277" t="s">
        <v>1830</v>
      </c>
      <c r="H452" s="284" t="s">
        <v>1677</v>
      </c>
      <c r="I452" s="279">
        <f>(2729481.36)/1000*$I$5</f>
        <v>2729.4813599999998</v>
      </c>
      <c r="J452" s="279">
        <f t="shared" si="17"/>
        <v>2729.4813599999998</v>
      </c>
      <c r="K452" s="367" t="s">
        <v>2971</v>
      </c>
      <c r="L452" s="283"/>
    </row>
    <row r="453" spans="1:12" s="281" customFormat="1" ht="60" x14ac:dyDescent="0.2">
      <c r="A453" s="56" t="s">
        <v>1910</v>
      </c>
      <c r="B453" s="277" t="s">
        <v>2860</v>
      </c>
      <c r="C453" s="297" t="s">
        <v>1793</v>
      </c>
      <c r="D453" s="583"/>
      <c r="E453" s="278" t="s">
        <v>1811</v>
      </c>
      <c r="F453" s="367" t="s">
        <v>1834</v>
      </c>
      <c r="G453" s="277" t="s">
        <v>1830</v>
      </c>
      <c r="H453" s="284" t="s">
        <v>1677</v>
      </c>
      <c r="I453" s="279">
        <f>(154408.47)/1000*$I$5</f>
        <v>154.40846999999999</v>
      </c>
      <c r="J453" s="279">
        <f t="shared" si="17"/>
        <v>154.40846999999999</v>
      </c>
      <c r="K453" s="367"/>
      <c r="L453" s="283"/>
    </row>
    <row r="454" spans="1:12" s="281" customFormat="1" ht="48" x14ac:dyDescent="0.2">
      <c r="A454" s="75" t="s">
        <v>1911</v>
      </c>
      <c r="B454" s="277" t="s">
        <v>2861</v>
      </c>
      <c r="C454" s="297" t="s">
        <v>1836</v>
      </c>
      <c r="D454" s="583"/>
      <c r="E454" s="278" t="s">
        <v>1812</v>
      </c>
      <c r="F454" s="367" t="s">
        <v>1835</v>
      </c>
      <c r="G454" s="277" t="s">
        <v>1830</v>
      </c>
      <c r="H454" s="284" t="s">
        <v>1830</v>
      </c>
      <c r="I454" s="279">
        <f>(147000)/1000*$I$5</f>
        <v>147</v>
      </c>
      <c r="J454" s="279">
        <f t="shared" si="17"/>
        <v>147</v>
      </c>
      <c r="K454" s="367"/>
      <c r="L454" s="283"/>
    </row>
    <row r="455" spans="1:12" s="281" customFormat="1" ht="84" x14ac:dyDescent="0.2">
      <c r="A455" s="56" t="s">
        <v>1912</v>
      </c>
      <c r="B455" s="277" t="s">
        <v>2862</v>
      </c>
      <c r="C455" s="297" t="s">
        <v>1836</v>
      </c>
      <c r="D455" s="583"/>
      <c r="E455" s="278" t="s">
        <v>1813</v>
      </c>
      <c r="F455" s="367" t="s">
        <v>1837</v>
      </c>
      <c r="G455" s="277" t="s">
        <v>15</v>
      </c>
      <c r="H455" s="284" t="s">
        <v>1830</v>
      </c>
      <c r="I455" s="279">
        <f>(1834000)/1000*$I$5</f>
        <v>1834</v>
      </c>
      <c r="J455" s="279">
        <f t="shared" si="17"/>
        <v>1834</v>
      </c>
      <c r="K455" s="367"/>
      <c r="L455" s="283"/>
    </row>
    <row r="456" spans="1:12" s="281" customFormat="1" ht="36" x14ac:dyDescent="0.2">
      <c r="A456" s="75" t="s">
        <v>1913</v>
      </c>
      <c r="B456" s="277" t="s">
        <v>2863</v>
      </c>
      <c r="C456" s="297" t="s">
        <v>1838</v>
      </c>
      <c r="D456" s="583"/>
      <c r="E456" s="278" t="s">
        <v>1845</v>
      </c>
      <c r="F456" s="367" t="s">
        <v>1822</v>
      </c>
      <c r="G456" s="277" t="s">
        <v>1677</v>
      </c>
      <c r="H456" s="284" t="s">
        <v>1614</v>
      </c>
      <c r="I456" s="279">
        <f>(560000)/1000*$I$5</f>
        <v>560</v>
      </c>
      <c r="J456" s="279">
        <f t="shared" si="17"/>
        <v>560</v>
      </c>
      <c r="K456" s="367"/>
      <c r="L456" s="283"/>
    </row>
    <row r="457" spans="1:12" s="281" customFormat="1" ht="36" x14ac:dyDescent="0.2">
      <c r="A457" s="56" t="s">
        <v>1914</v>
      </c>
      <c r="B457" s="277" t="s">
        <v>2864</v>
      </c>
      <c r="C457" s="297" t="s">
        <v>1839</v>
      </c>
      <c r="D457" s="583"/>
      <c r="E457" s="278" t="s">
        <v>1814</v>
      </c>
      <c r="F457" s="367" t="s">
        <v>1840</v>
      </c>
      <c r="G457" s="277" t="s">
        <v>1677</v>
      </c>
      <c r="H457" s="284" t="s">
        <v>1677</v>
      </c>
      <c r="I457" s="279">
        <f>(912378.03)/1000*$I$5</f>
        <v>912.37803000000008</v>
      </c>
      <c r="J457" s="279">
        <f t="shared" si="17"/>
        <v>912.37803000000008</v>
      </c>
      <c r="K457" s="367"/>
      <c r="L457" s="283"/>
    </row>
    <row r="458" spans="1:12" s="281" customFormat="1" ht="36" x14ac:dyDescent="0.2">
      <c r="A458" s="75" t="s">
        <v>1915</v>
      </c>
      <c r="B458" s="277" t="s">
        <v>2865</v>
      </c>
      <c r="C458" s="297" t="s">
        <v>1838</v>
      </c>
      <c r="D458" s="583"/>
      <c r="E458" s="278" t="s">
        <v>1815</v>
      </c>
      <c r="F458" s="367" t="s">
        <v>1841</v>
      </c>
      <c r="G458" s="277" t="s">
        <v>1591</v>
      </c>
      <c r="H458" s="284" t="s">
        <v>872</v>
      </c>
      <c r="I458" s="279">
        <f>(116198.59)/1000*$I$5</f>
        <v>116.19859</v>
      </c>
      <c r="J458" s="279">
        <f t="shared" si="17"/>
        <v>116.19859</v>
      </c>
      <c r="K458" s="367"/>
      <c r="L458" s="283"/>
    </row>
    <row r="459" spans="1:12" s="281" customFormat="1" ht="180" x14ac:dyDescent="0.2">
      <c r="A459" s="56" t="s">
        <v>1916</v>
      </c>
      <c r="B459" s="277" t="s">
        <v>2866</v>
      </c>
      <c r="C459" s="297" t="s">
        <v>1844</v>
      </c>
      <c r="D459" s="583"/>
      <c r="E459" s="278" t="s">
        <v>1846</v>
      </c>
      <c r="F459" s="367" t="s">
        <v>1843</v>
      </c>
      <c r="G459" s="277" t="s">
        <v>1591</v>
      </c>
      <c r="H459" s="284" t="s">
        <v>872</v>
      </c>
      <c r="I459" s="279">
        <f>(994291.84)/1000*$I$5</f>
        <v>994.29183999999998</v>
      </c>
      <c r="J459" s="279">
        <f t="shared" si="17"/>
        <v>994.29183999999998</v>
      </c>
      <c r="K459" s="367"/>
      <c r="L459" s="283"/>
    </row>
    <row r="460" spans="1:12" s="281" customFormat="1" ht="168" x14ac:dyDescent="0.2">
      <c r="A460" s="75" t="s">
        <v>1917</v>
      </c>
      <c r="B460" s="277" t="s">
        <v>2867</v>
      </c>
      <c r="C460" s="297" t="s">
        <v>1847</v>
      </c>
      <c r="D460" s="583"/>
      <c r="E460" s="278" t="s">
        <v>1816</v>
      </c>
      <c r="F460" s="367" t="s">
        <v>1823</v>
      </c>
      <c r="G460" s="277" t="s">
        <v>1591</v>
      </c>
      <c r="H460" s="284" t="s">
        <v>1520</v>
      </c>
      <c r="I460" s="279">
        <f>(6651505.78)/1000*$I$5</f>
        <v>6651.5057800000004</v>
      </c>
      <c r="J460" s="279">
        <f t="shared" si="17"/>
        <v>6651.5057800000004</v>
      </c>
      <c r="K460" s="367"/>
      <c r="L460" s="283"/>
    </row>
    <row r="461" spans="1:12" s="281" customFormat="1" ht="33.75" x14ac:dyDescent="0.2">
      <c r="A461" s="56" t="s">
        <v>1918</v>
      </c>
      <c r="B461" s="277" t="s">
        <v>2868</v>
      </c>
      <c r="C461" s="297" t="s">
        <v>1824</v>
      </c>
      <c r="D461" s="583"/>
      <c r="E461" s="278" t="s">
        <v>1817</v>
      </c>
      <c r="F461" s="367" t="s">
        <v>1824</v>
      </c>
      <c r="G461" s="277" t="s">
        <v>1591</v>
      </c>
      <c r="H461" s="284" t="s">
        <v>872</v>
      </c>
      <c r="I461" s="279">
        <f>(906139.83)/1000*$I$5</f>
        <v>906.13982999999996</v>
      </c>
      <c r="J461" s="279">
        <f t="shared" si="17"/>
        <v>906.13982999999996</v>
      </c>
      <c r="K461" s="367"/>
      <c r="L461" s="283"/>
    </row>
    <row r="462" spans="1:12" s="281" customFormat="1" ht="48" x14ac:dyDescent="0.2">
      <c r="A462" s="75" t="s">
        <v>1919</v>
      </c>
      <c r="B462" s="277" t="s">
        <v>2869</v>
      </c>
      <c r="C462" s="297" t="s">
        <v>1848</v>
      </c>
      <c r="D462" s="583"/>
      <c r="E462" s="278" t="s">
        <v>1818</v>
      </c>
      <c r="F462" s="367" t="s">
        <v>1825</v>
      </c>
      <c r="G462" s="277" t="s">
        <v>1591</v>
      </c>
      <c r="H462" s="284" t="s">
        <v>872</v>
      </c>
      <c r="I462" s="279">
        <f>(314097.46)/1000*$I$5</f>
        <v>314.09746000000001</v>
      </c>
      <c r="J462" s="279">
        <f t="shared" si="17"/>
        <v>314.09746000000001</v>
      </c>
      <c r="K462" s="367"/>
      <c r="L462" s="283"/>
    </row>
    <row r="463" spans="1:12" s="281" customFormat="1" ht="60" x14ac:dyDescent="0.2">
      <c r="A463" s="56" t="s">
        <v>1920</v>
      </c>
      <c r="B463" s="277" t="s">
        <v>2870</v>
      </c>
      <c r="C463" s="297" t="s">
        <v>1849</v>
      </c>
      <c r="D463" s="583"/>
      <c r="E463" s="278" t="s">
        <v>1819</v>
      </c>
      <c r="F463" s="367" t="s">
        <v>1826</v>
      </c>
      <c r="G463" s="277" t="s">
        <v>872</v>
      </c>
      <c r="H463" s="284" t="s">
        <v>1575</v>
      </c>
      <c r="I463" s="279">
        <f>(1881434)/1000*$I$5</f>
        <v>1881.434</v>
      </c>
      <c r="J463" s="279">
        <f t="shared" si="17"/>
        <v>1881.434</v>
      </c>
      <c r="K463" s="367"/>
      <c r="L463" s="283"/>
    </row>
    <row r="464" spans="1:12" s="281" customFormat="1" ht="228" x14ac:dyDescent="0.2">
      <c r="A464" s="75" t="s">
        <v>1921</v>
      </c>
      <c r="B464" s="277" t="s">
        <v>2871</v>
      </c>
      <c r="C464" s="297" t="s">
        <v>1851</v>
      </c>
      <c r="D464" s="583"/>
      <c r="E464" s="278" t="s">
        <v>1820</v>
      </c>
      <c r="F464" s="367" t="s">
        <v>1850</v>
      </c>
      <c r="G464" s="277" t="s">
        <v>1586</v>
      </c>
      <c r="H464" s="284" t="s">
        <v>1643</v>
      </c>
      <c r="I464" s="279">
        <f>(2234816.03)/1000*$I$5</f>
        <v>2234.81603</v>
      </c>
      <c r="J464" s="279">
        <f t="shared" si="17"/>
        <v>2234.81603</v>
      </c>
      <c r="K464" s="367"/>
      <c r="L464" s="283"/>
    </row>
    <row r="465" spans="1:12" s="281" customFormat="1" ht="60" x14ac:dyDescent="0.2">
      <c r="A465" s="56" t="s">
        <v>1922</v>
      </c>
      <c r="B465" s="277" t="s">
        <v>2872</v>
      </c>
      <c r="C465" s="297" t="s">
        <v>1838</v>
      </c>
      <c r="D465" s="583"/>
      <c r="E465" s="278" t="s">
        <v>1821</v>
      </c>
      <c r="F465" s="367" t="s">
        <v>1827</v>
      </c>
      <c r="G465" s="277" t="s">
        <v>1575</v>
      </c>
      <c r="H465" s="284" t="s">
        <v>1522</v>
      </c>
      <c r="I465" s="279">
        <f>(762463.35)/1000*$I$5</f>
        <v>762.46334999999999</v>
      </c>
      <c r="J465" s="279">
        <f t="shared" si="17"/>
        <v>762.46334999999999</v>
      </c>
      <c r="K465" s="367"/>
      <c r="L465" s="283"/>
    </row>
    <row r="466" spans="1:12" s="281" customFormat="1" ht="70.5" customHeight="1" x14ac:dyDescent="0.2">
      <c r="A466" s="75" t="s">
        <v>1923</v>
      </c>
      <c r="B466" s="277" t="s">
        <v>2873</v>
      </c>
      <c r="C466" s="297" t="s">
        <v>1838</v>
      </c>
      <c r="D466" s="583"/>
      <c r="E466" s="278" t="s">
        <v>1852</v>
      </c>
      <c r="F466" s="367" t="s">
        <v>1868</v>
      </c>
      <c r="G466" s="277" t="s">
        <v>1869</v>
      </c>
      <c r="H466" s="284" t="s">
        <v>1870</v>
      </c>
      <c r="I466" s="279">
        <f>(560000)/1000*$I$5</f>
        <v>560</v>
      </c>
      <c r="J466" s="279">
        <f t="shared" si="17"/>
        <v>560</v>
      </c>
      <c r="K466" s="323" t="s">
        <v>1867</v>
      </c>
      <c r="L466" s="283"/>
    </row>
    <row r="467" spans="1:12" s="281" customFormat="1" ht="96" x14ac:dyDescent="0.2">
      <c r="A467" s="56" t="s">
        <v>1924</v>
      </c>
      <c r="B467" s="277" t="s">
        <v>2874</v>
      </c>
      <c r="C467" s="297" t="s">
        <v>1849</v>
      </c>
      <c r="D467" s="583"/>
      <c r="E467" s="278" t="s">
        <v>1853</v>
      </c>
      <c r="F467" s="367" t="s">
        <v>1861</v>
      </c>
      <c r="G467" s="277" t="s">
        <v>1869</v>
      </c>
      <c r="H467" s="284" t="s">
        <v>1614</v>
      </c>
      <c r="I467" s="279">
        <f>(580000)/1000*$I$5</f>
        <v>580</v>
      </c>
      <c r="J467" s="279">
        <f t="shared" si="17"/>
        <v>580</v>
      </c>
      <c r="K467" s="367"/>
      <c r="L467" s="283"/>
    </row>
    <row r="468" spans="1:12" s="281" customFormat="1" ht="48" x14ac:dyDescent="0.2">
      <c r="A468" s="75" t="s">
        <v>1925</v>
      </c>
      <c r="B468" s="277" t="s">
        <v>2875</v>
      </c>
      <c r="C468" s="297" t="s">
        <v>1838</v>
      </c>
      <c r="D468" s="583"/>
      <c r="E468" s="278" t="s">
        <v>1854</v>
      </c>
      <c r="F468" s="367" t="s">
        <v>1862</v>
      </c>
      <c r="G468" s="277" t="s">
        <v>1614</v>
      </c>
      <c r="H468" s="284" t="s">
        <v>1636</v>
      </c>
      <c r="I468" s="279">
        <f>(120125.84)/1000*$I$5</f>
        <v>120.12584</v>
      </c>
      <c r="J468" s="279">
        <f t="shared" si="17"/>
        <v>120.12584</v>
      </c>
      <c r="K468" s="367"/>
      <c r="L468" s="283"/>
    </row>
    <row r="469" spans="1:12" s="281" customFormat="1" ht="48" x14ac:dyDescent="0.2">
      <c r="A469" s="56" t="s">
        <v>1926</v>
      </c>
      <c r="B469" s="277" t="s">
        <v>2876</v>
      </c>
      <c r="C469" s="297" t="s">
        <v>1838</v>
      </c>
      <c r="D469" s="583"/>
      <c r="E469" s="278" t="s">
        <v>1855</v>
      </c>
      <c r="F469" s="367" t="s">
        <v>1863</v>
      </c>
      <c r="G469" s="277" t="s">
        <v>1614</v>
      </c>
      <c r="H469" s="284" t="s">
        <v>1526</v>
      </c>
      <c r="I469" s="279">
        <f>(3244950.59)/1000*$I$5</f>
        <v>3244.9505899999999</v>
      </c>
      <c r="J469" s="279">
        <f t="shared" si="17"/>
        <v>3244.9505899999999</v>
      </c>
      <c r="K469" s="367"/>
      <c r="L469" s="283"/>
    </row>
    <row r="470" spans="1:12" s="281" customFormat="1" ht="120" x14ac:dyDescent="0.2">
      <c r="A470" s="75" t="s">
        <v>1927</v>
      </c>
      <c r="B470" s="277" t="s">
        <v>2877</v>
      </c>
      <c r="C470" s="297" t="s">
        <v>1872</v>
      </c>
      <c r="D470" s="583"/>
      <c r="E470" s="278" t="s">
        <v>1871</v>
      </c>
      <c r="F470" s="367" t="s">
        <v>1873</v>
      </c>
      <c r="G470" s="277" t="s">
        <v>638</v>
      </c>
      <c r="H470" s="284" t="s">
        <v>1527</v>
      </c>
      <c r="I470" s="279">
        <f>(2730925)/1000*$I$5</f>
        <v>2730.9250000000002</v>
      </c>
      <c r="J470" s="279">
        <f t="shared" si="17"/>
        <v>2730.9250000000002</v>
      </c>
      <c r="K470" s="367"/>
      <c r="L470" s="283"/>
    </row>
    <row r="471" spans="1:12" s="281" customFormat="1" ht="60" x14ac:dyDescent="0.2">
      <c r="A471" s="56" t="s">
        <v>1928</v>
      </c>
      <c r="B471" s="277" t="s">
        <v>2878</v>
      </c>
      <c r="C471" s="297" t="s">
        <v>1838</v>
      </c>
      <c r="D471" s="583"/>
      <c r="E471" s="278" t="s">
        <v>1856</v>
      </c>
      <c r="F471" s="367" t="s">
        <v>1874</v>
      </c>
      <c r="G471" s="277" t="s">
        <v>1875</v>
      </c>
      <c r="H471" s="284" t="s">
        <v>1636</v>
      </c>
      <c r="I471" s="279">
        <f>(38378)/1000*$I$5</f>
        <v>38.378</v>
      </c>
      <c r="J471" s="279">
        <f t="shared" si="17"/>
        <v>38.378</v>
      </c>
      <c r="K471" s="367"/>
      <c r="L471" s="283"/>
    </row>
    <row r="472" spans="1:12" s="281" customFormat="1" ht="60" x14ac:dyDescent="0.2">
      <c r="A472" s="75" t="s">
        <v>1929</v>
      </c>
      <c r="B472" s="277" t="s">
        <v>2879</v>
      </c>
      <c r="C472" s="297" t="s">
        <v>1838</v>
      </c>
      <c r="D472" s="583"/>
      <c r="E472" s="278" t="s">
        <v>1857</v>
      </c>
      <c r="F472" s="367" t="s">
        <v>2972</v>
      </c>
      <c r="G472" s="277" t="s">
        <v>1875</v>
      </c>
      <c r="H472" s="284" t="s">
        <v>1636</v>
      </c>
      <c r="I472" s="279">
        <f>(113567.42)/1000*$I$5</f>
        <v>113.56742</v>
      </c>
      <c r="J472" s="279">
        <f t="shared" si="17"/>
        <v>113.56742</v>
      </c>
      <c r="K472" s="367"/>
      <c r="L472" s="283"/>
    </row>
    <row r="473" spans="1:12" s="281" customFormat="1" ht="48" x14ac:dyDescent="0.2">
      <c r="A473" s="56" t="s">
        <v>1930</v>
      </c>
      <c r="B473" s="277" t="s">
        <v>2880</v>
      </c>
      <c r="C473" s="297" t="s">
        <v>1876</v>
      </c>
      <c r="D473" s="583"/>
      <c r="E473" s="278" t="s">
        <v>1858</v>
      </c>
      <c r="F473" s="367" t="s">
        <v>2973</v>
      </c>
      <c r="G473" s="277" t="s">
        <v>1526</v>
      </c>
      <c r="H473" s="284" t="s">
        <v>1527</v>
      </c>
      <c r="I473" s="279">
        <f>(560000)/1000*$I$5</f>
        <v>560</v>
      </c>
      <c r="J473" s="279">
        <f t="shared" si="17"/>
        <v>560</v>
      </c>
      <c r="K473" s="367"/>
      <c r="L473" s="283"/>
    </row>
    <row r="474" spans="1:12" s="281" customFormat="1" ht="84" x14ac:dyDescent="0.2">
      <c r="A474" s="75" t="s">
        <v>1931</v>
      </c>
      <c r="B474" s="277" t="s">
        <v>2881</v>
      </c>
      <c r="C474" s="297" t="s">
        <v>1877</v>
      </c>
      <c r="D474" s="583"/>
      <c r="E474" s="278" t="s">
        <v>1859</v>
      </c>
      <c r="F474" s="367" t="s">
        <v>1864</v>
      </c>
      <c r="G474" s="277" t="s">
        <v>1636</v>
      </c>
      <c r="H474" s="284" t="s">
        <v>1596</v>
      </c>
      <c r="I474" s="279">
        <f>(5214760)/1000*$I$5</f>
        <v>5214.76</v>
      </c>
      <c r="J474" s="279">
        <f t="shared" si="17"/>
        <v>5214.76</v>
      </c>
      <c r="K474" s="367"/>
      <c r="L474" s="283"/>
    </row>
    <row r="475" spans="1:12" s="281" customFormat="1" ht="84" x14ac:dyDescent="0.2">
      <c r="A475" s="56" t="s">
        <v>1932</v>
      </c>
      <c r="B475" s="277" t="s">
        <v>2882</v>
      </c>
      <c r="C475" s="297" t="s">
        <v>1879</v>
      </c>
      <c r="D475" s="583"/>
      <c r="E475" s="278" t="s">
        <v>1878</v>
      </c>
      <c r="F475" s="367" t="s">
        <v>1865</v>
      </c>
      <c r="G475" s="277" t="s">
        <v>1526</v>
      </c>
      <c r="H475" s="284" t="s">
        <v>1603</v>
      </c>
      <c r="I475" s="279">
        <f>(26900000)/1000*$I$5</f>
        <v>26900</v>
      </c>
      <c r="J475" s="279">
        <f t="shared" si="17"/>
        <v>26900</v>
      </c>
      <c r="K475" s="367"/>
      <c r="L475" s="283"/>
    </row>
    <row r="476" spans="1:12" s="281" customFormat="1" ht="108" x14ac:dyDescent="0.2">
      <c r="A476" s="75" t="s">
        <v>1933</v>
      </c>
      <c r="B476" s="277" t="s">
        <v>2883</v>
      </c>
      <c r="C476" s="297" t="s">
        <v>1880</v>
      </c>
      <c r="D476" s="583"/>
      <c r="E476" s="278" t="s">
        <v>1860</v>
      </c>
      <c r="F476" s="367" t="s">
        <v>1866</v>
      </c>
      <c r="G476" s="277" t="s">
        <v>1636</v>
      </c>
      <c r="H476" s="284" t="s">
        <v>1636</v>
      </c>
      <c r="I476" s="279">
        <f>(495580.5)/1000*$I$5</f>
        <v>495.58049999999997</v>
      </c>
      <c r="J476" s="279">
        <f t="shared" si="17"/>
        <v>495.58049999999997</v>
      </c>
      <c r="K476" s="367"/>
      <c r="L476" s="283"/>
    </row>
    <row r="477" spans="1:12" s="281" customFormat="1" ht="33.75" x14ac:dyDescent="0.2">
      <c r="A477" s="56" t="s">
        <v>1953</v>
      </c>
      <c r="B477" s="277" t="s">
        <v>2884</v>
      </c>
      <c r="C477" s="297" t="s">
        <v>1958</v>
      </c>
      <c r="D477" s="583"/>
      <c r="E477" s="278" t="s">
        <v>1956</v>
      </c>
      <c r="F477" s="367" t="s">
        <v>1955</v>
      </c>
      <c r="G477" s="277" t="s">
        <v>1596</v>
      </c>
      <c r="H477" s="284" t="s">
        <v>1596</v>
      </c>
      <c r="I477" s="279">
        <f>(412825.22)/1000*$I$5</f>
        <v>412.82521999999994</v>
      </c>
      <c r="J477" s="279">
        <f>I477-(0)/1000*$I$5</f>
        <v>412.82521999999994</v>
      </c>
      <c r="K477" s="367"/>
      <c r="L477" s="283"/>
    </row>
    <row r="478" spans="1:12" s="281" customFormat="1" ht="72" x14ac:dyDescent="0.2">
      <c r="A478" s="75" t="s">
        <v>1954</v>
      </c>
      <c r="B478" s="277" t="s">
        <v>2885</v>
      </c>
      <c r="C478" s="297" t="s">
        <v>1877</v>
      </c>
      <c r="D478" s="584"/>
      <c r="E478" s="278" t="s">
        <v>1957</v>
      </c>
      <c r="F478" s="367" t="s">
        <v>1959</v>
      </c>
      <c r="G478" s="277" t="s">
        <v>1527</v>
      </c>
      <c r="H478" s="284" t="s">
        <v>1960</v>
      </c>
      <c r="I478" s="279">
        <f>(402351)/1000*$I$5</f>
        <v>402.351</v>
      </c>
      <c r="J478" s="279">
        <f>I478-(0)/1000*$I$5</f>
        <v>402.351</v>
      </c>
      <c r="K478" s="367"/>
      <c r="L478" s="283"/>
    </row>
    <row r="479" spans="1:12" s="281" customFormat="1" ht="27.75" customHeight="1" x14ac:dyDescent="0.2">
      <c r="A479" s="302" t="s">
        <v>1936</v>
      </c>
      <c r="B479" s="277" t="s">
        <v>2886</v>
      </c>
      <c r="C479" s="297" t="s">
        <v>1883</v>
      </c>
      <c r="D479" s="629" t="s">
        <v>1882</v>
      </c>
      <c r="E479" s="278"/>
      <c r="F479" s="367"/>
      <c r="G479" s="277"/>
      <c r="H479" s="284"/>
      <c r="I479" s="279">
        <f t="shared" ref="I479:I488" si="18">(0)/1000*$I$5</f>
        <v>0</v>
      </c>
      <c r="J479" s="279">
        <f t="shared" si="17"/>
        <v>0</v>
      </c>
      <c r="K479" s="367"/>
      <c r="L479" s="283"/>
    </row>
    <row r="480" spans="1:12" s="281" customFormat="1" ht="48" x14ac:dyDescent="0.2">
      <c r="A480" s="302"/>
      <c r="B480" s="277" t="s">
        <v>2887</v>
      </c>
      <c r="C480" s="297" t="s">
        <v>1934</v>
      </c>
      <c r="D480" s="630"/>
      <c r="E480" s="278" t="s">
        <v>1935</v>
      </c>
      <c r="F480" s="367" t="s">
        <v>1881</v>
      </c>
      <c r="G480" s="277" t="s">
        <v>1554</v>
      </c>
      <c r="H480" s="284" t="s">
        <v>1554</v>
      </c>
      <c r="I480" s="279">
        <f>(350830)/1000*$I$5</f>
        <v>350.83</v>
      </c>
      <c r="J480" s="279">
        <f t="shared" si="17"/>
        <v>350.83</v>
      </c>
      <c r="K480" s="367"/>
      <c r="L480" s="283"/>
    </row>
    <row r="481" spans="1:13" s="281" customFormat="1" ht="69" customHeight="1" x14ac:dyDescent="0.2">
      <c r="A481" s="302"/>
      <c r="B481" s="277" t="s">
        <v>2888</v>
      </c>
      <c r="C481" s="297" t="s">
        <v>1940</v>
      </c>
      <c r="D481" s="324"/>
      <c r="E481" s="278" t="s">
        <v>1941</v>
      </c>
      <c r="F481" s="367" t="s">
        <v>1937</v>
      </c>
      <c r="G481" s="277" t="s">
        <v>1875</v>
      </c>
      <c r="H481" s="284" t="s">
        <v>1943</v>
      </c>
      <c r="I481" s="279">
        <f>(40366404.5)/1000*$I$5</f>
        <v>40366.404499999997</v>
      </c>
      <c r="J481" s="279">
        <f>I481-(7007965+795337)/1000*$I$5</f>
        <v>32563.102499999997</v>
      </c>
      <c r="K481" s="367"/>
      <c r="L481" s="283"/>
    </row>
    <row r="482" spans="1:13" s="281" customFormat="1" ht="79.5" customHeight="1" x14ac:dyDescent="0.2">
      <c r="A482" s="302"/>
      <c r="B482" s="277" t="s">
        <v>2889</v>
      </c>
      <c r="C482" s="297" t="s">
        <v>1939</v>
      </c>
      <c r="D482" s="315"/>
      <c r="E482" s="278" t="s">
        <v>1942</v>
      </c>
      <c r="F482" s="367" t="s">
        <v>1938</v>
      </c>
      <c r="G482" s="277" t="s">
        <v>1643</v>
      </c>
      <c r="H482" s="284" t="s">
        <v>1944</v>
      </c>
      <c r="I482" s="279">
        <f>(54199239.44)/1000*$I$5</f>
        <v>54199.239439999998</v>
      </c>
      <c r="J482" s="279">
        <f>I482-(5173687.52+5893587)/1000*$I$5-5169811/1000</f>
        <v>37962.153919999997</v>
      </c>
      <c r="K482" s="367"/>
      <c r="L482" s="283"/>
    </row>
    <row r="483" spans="1:13" s="281" customFormat="1" hidden="1" x14ac:dyDescent="0.2">
      <c r="A483" s="302"/>
      <c r="B483" s="277" t="s">
        <v>2890</v>
      </c>
      <c r="C483" s="297" t="s">
        <v>1762</v>
      </c>
      <c r="D483" s="315"/>
      <c r="E483" s="278"/>
      <c r="F483" s="367"/>
      <c r="G483" s="277"/>
      <c r="H483" s="284"/>
      <c r="I483" s="279">
        <f t="shared" si="18"/>
        <v>0</v>
      </c>
      <c r="J483" s="279">
        <f t="shared" si="17"/>
        <v>0</v>
      </c>
      <c r="K483" s="367"/>
      <c r="L483" s="283"/>
    </row>
    <row r="484" spans="1:13" s="281" customFormat="1" hidden="1" x14ac:dyDescent="0.2">
      <c r="A484" s="302"/>
      <c r="B484" s="277" t="s">
        <v>2891</v>
      </c>
      <c r="C484" s="297" t="s">
        <v>1762</v>
      </c>
      <c r="D484" s="315"/>
      <c r="E484" s="278"/>
      <c r="F484" s="367"/>
      <c r="G484" s="277"/>
      <c r="H484" s="284"/>
      <c r="I484" s="279">
        <f t="shared" si="18"/>
        <v>0</v>
      </c>
      <c r="J484" s="279">
        <f t="shared" si="17"/>
        <v>0</v>
      </c>
      <c r="K484" s="367"/>
      <c r="L484" s="283"/>
    </row>
    <row r="485" spans="1:13" s="281" customFormat="1" hidden="1" x14ac:dyDescent="0.2">
      <c r="A485" s="302"/>
      <c r="B485" s="277" t="s">
        <v>2892</v>
      </c>
      <c r="C485" s="297" t="s">
        <v>1762</v>
      </c>
      <c r="D485" s="315"/>
      <c r="E485" s="278"/>
      <c r="F485" s="367"/>
      <c r="G485" s="277"/>
      <c r="H485" s="284"/>
      <c r="I485" s="279">
        <f t="shared" si="18"/>
        <v>0</v>
      </c>
      <c r="J485" s="279">
        <f t="shared" si="17"/>
        <v>0</v>
      </c>
      <c r="K485" s="367"/>
      <c r="L485" s="283"/>
    </row>
    <row r="486" spans="1:13" s="281" customFormat="1" hidden="1" x14ac:dyDescent="0.2">
      <c r="A486" s="302"/>
      <c r="B486" s="277" t="s">
        <v>2893</v>
      </c>
      <c r="C486" s="297" t="s">
        <v>1762</v>
      </c>
      <c r="D486" s="315"/>
      <c r="E486" s="278"/>
      <c r="F486" s="367"/>
      <c r="G486" s="277"/>
      <c r="H486" s="284"/>
      <c r="I486" s="279">
        <f t="shared" si="18"/>
        <v>0</v>
      </c>
      <c r="J486" s="279">
        <f t="shared" si="17"/>
        <v>0</v>
      </c>
      <c r="K486" s="367"/>
      <c r="L486" s="283"/>
    </row>
    <row r="487" spans="1:13" s="281" customFormat="1" hidden="1" x14ac:dyDescent="0.2">
      <c r="A487" s="302"/>
      <c r="B487" s="277" t="s">
        <v>2894</v>
      </c>
      <c r="C487" s="297" t="s">
        <v>1762</v>
      </c>
      <c r="D487" s="315"/>
      <c r="E487" s="278"/>
      <c r="F487" s="367"/>
      <c r="G487" s="277"/>
      <c r="H487" s="284"/>
      <c r="I487" s="279">
        <f t="shared" si="18"/>
        <v>0</v>
      </c>
      <c r="J487" s="279">
        <f t="shared" si="17"/>
        <v>0</v>
      </c>
      <c r="K487" s="367"/>
      <c r="L487" s="283"/>
    </row>
    <row r="488" spans="1:13" s="281" customFormat="1" hidden="1" x14ac:dyDescent="0.2">
      <c r="A488" s="302"/>
      <c r="B488" s="277" t="s">
        <v>2895</v>
      </c>
      <c r="C488" s="297" t="s">
        <v>1762</v>
      </c>
      <c r="D488" s="315"/>
      <c r="E488" s="278"/>
      <c r="F488" s="367"/>
      <c r="G488" s="277"/>
      <c r="H488" s="284"/>
      <c r="I488" s="279">
        <f t="shared" si="18"/>
        <v>0</v>
      </c>
      <c r="J488" s="279">
        <f t="shared" si="17"/>
        <v>0</v>
      </c>
      <c r="K488" s="367"/>
      <c r="L488" s="283"/>
    </row>
    <row r="489" spans="1:13" ht="96" x14ac:dyDescent="0.2">
      <c r="A489" s="75" t="s">
        <v>1434</v>
      </c>
      <c r="B489" s="277" t="s">
        <v>2896</v>
      </c>
      <c r="C489" s="4" t="s">
        <v>1946</v>
      </c>
      <c r="D489" s="131" t="s">
        <v>1441</v>
      </c>
      <c r="E489" s="183" t="s">
        <v>628</v>
      </c>
      <c r="F489" s="131" t="s">
        <v>1442</v>
      </c>
      <c r="G489" s="77" t="s">
        <v>86</v>
      </c>
      <c r="H489" s="77" t="s">
        <v>91</v>
      </c>
      <c r="I489" s="195">
        <f>(2720619)/1000*$I$5</f>
        <v>2720.6190000000001</v>
      </c>
      <c r="J489" s="195">
        <f t="shared" ref="J489:J501" si="19">I489-(0)/1000*$I$5</f>
        <v>2720.6190000000001</v>
      </c>
      <c r="K489" s="66" t="s">
        <v>793</v>
      </c>
      <c r="L489" s="78"/>
      <c r="M489" s="60" t="s">
        <v>628</v>
      </c>
    </row>
    <row r="490" spans="1:13" ht="120" x14ac:dyDescent="0.2">
      <c r="A490" s="75" t="s">
        <v>1435</v>
      </c>
      <c r="B490" s="277" t="s">
        <v>2897</v>
      </c>
      <c r="C490" s="355" t="s">
        <v>1945</v>
      </c>
      <c r="D490" s="131" t="s">
        <v>1444</v>
      </c>
      <c r="E490" s="183" t="s">
        <v>1948</v>
      </c>
      <c r="F490" s="131" t="s">
        <v>1443</v>
      </c>
      <c r="G490" s="77" t="s">
        <v>22</v>
      </c>
      <c r="H490" s="77" t="s">
        <v>18</v>
      </c>
      <c r="I490" s="193">
        <f>(10550707)/1000*$I$5</f>
        <v>10550.707</v>
      </c>
      <c r="J490" s="193">
        <f t="shared" si="19"/>
        <v>10550.707</v>
      </c>
      <c r="K490" s="66" t="s">
        <v>639</v>
      </c>
      <c r="L490" s="78"/>
    </row>
    <row r="491" spans="1:13" s="281" customFormat="1" ht="130.5" customHeight="1" x14ac:dyDescent="0.2">
      <c r="A491" s="302" t="s">
        <v>1947</v>
      </c>
      <c r="B491" s="277" t="s">
        <v>2898</v>
      </c>
      <c r="C491" s="364" t="s">
        <v>1951</v>
      </c>
      <c r="D491" s="299" t="s">
        <v>1952</v>
      </c>
      <c r="E491" s="278" t="s">
        <v>1949</v>
      </c>
      <c r="F491" s="299" t="s">
        <v>1950</v>
      </c>
      <c r="G491" s="300" t="s">
        <v>1522</v>
      </c>
      <c r="H491" s="300" t="s">
        <v>1596</v>
      </c>
      <c r="I491" s="314">
        <f>(9020467.54)/1000*$I$5</f>
        <v>9020.4675399999996</v>
      </c>
      <c r="J491" s="314">
        <f t="shared" si="19"/>
        <v>9020.4675399999996</v>
      </c>
      <c r="K491" s="299"/>
      <c r="L491" s="303"/>
    </row>
    <row r="492" spans="1:13" ht="84" x14ac:dyDescent="0.2">
      <c r="A492" s="75" t="s">
        <v>1445</v>
      </c>
      <c r="B492" s="300" t="s">
        <v>2899</v>
      </c>
      <c r="C492" s="355" t="s">
        <v>1446</v>
      </c>
      <c r="D492" s="131" t="s">
        <v>1447</v>
      </c>
      <c r="E492" s="183" t="s">
        <v>618</v>
      </c>
      <c r="F492" s="131" t="s">
        <v>1448</v>
      </c>
      <c r="G492" s="77" t="s">
        <v>93</v>
      </c>
      <c r="H492" s="77" t="s">
        <v>9</v>
      </c>
      <c r="I492" s="193">
        <f>(5002224)/1000*$I$5</f>
        <v>5002.2240000000002</v>
      </c>
      <c r="J492" s="193">
        <f t="shared" si="19"/>
        <v>5002.2240000000002</v>
      </c>
      <c r="K492" s="66" t="s">
        <v>617</v>
      </c>
      <c r="L492" s="78"/>
      <c r="M492" s="60" t="s">
        <v>618</v>
      </c>
    </row>
    <row r="493" spans="1:13" ht="60" customHeight="1" x14ac:dyDescent="0.2">
      <c r="A493" s="56" t="s">
        <v>1451</v>
      </c>
      <c r="B493" s="277" t="s">
        <v>2900</v>
      </c>
      <c r="C493" s="607" t="s">
        <v>794</v>
      </c>
      <c r="D493" s="607" t="s">
        <v>1453</v>
      </c>
      <c r="E493" s="183" t="s">
        <v>1449</v>
      </c>
      <c r="F493" s="131" t="s">
        <v>1454</v>
      </c>
      <c r="G493" s="77" t="s">
        <v>177</v>
      </c>
      <c r="H493" s="77" t="s">
        <v>179</v>
      </c>
      <c r="I493" s="193">
        <f>(6175000)/1000*$I$5</f>
        <v>6175</v>
      </c>
      <c r="J493" s="193">
        <f t="shared" si="19"/>
        <v>6175</v>
      </c>
      <c r="K493" s="66" t="s">
        <v>549</v>
      </c>
      <c r="L493" s="78"/>
      <c r="M493" s="248" t="s">
        <v>550</v>
      </c>
    </row>
    <row r="494" spans="1:13" ht="72" x14ac:dyDescent="0.2">
      <c r="A494" s="56" t="s">
        <v>1452</v>
      </c>
      <c r="B494" s="277" t="s">
        <v>2901</v>
      </c>
      <c r="C494" s="628"/>
      <c r="D494" s="628"/>
      <c r="E494" s="183" t="s">
        <v>1450</v>
      </c>
      <c r="F494" s="131" t="s">
        <v>1455</v>
      </c>
      <c r="G494" s="77" t="s">
        <v>177</v>
      </c>
      <c r="H494" s="77" t="s">
        <v>8</v>
      </c>
      <c r="I494" s="193">
        <f>(2850000)/1000*$I$5</f>
        <v>2850</v>
      </c>
      <c r="J494" s="193">
        <f t="shared" si="19"/>
        <v>2850</v>
      </c>
      <c r="K494" s="66"/>
      <c r="L494" s="78"/>
      <c r="M494" s="248"/>
    </row>
    <row r="495" spans="1:13" ht="107.25" customHeight="1" x14ac:dyDescent="0.2">
      <c r="A495" s="56" t="s">
        <v>1458</v>
      </c>
      <c r="B495" s="277" t="s">
        <v>2902</v>
      </c>
      <c r="C495" s="607" t="s">
        <v>798</v>
      </c>
      <c r="D495" s="131" t="s">
        <v>1456</v>
      </c>
      <c r="E495" s="183" t="s">
        <v>1038</v>
      </c>
      <c r="F495" s="131" t="s">
        <v>1457</v>
      </c>
      <c r="G495" s="77" t="s">
        <v>410</v>
      </c>
      <c r="H495" s="77" t="s">
        <v>127</v>
      </c>
      <c r="I495" s="193">
        <f>(2130356+1597705)/1000*$I$5</f>
        <v>3728.0610000000001</v>
      </c>
      <c r="J495" s="193">
        <f t="shared" si="19"/>
        <v>3728.0610000000001</v>
      </c>
      <c r="K495" s="66" t="s">
        <v>553</v>
      </c>
      <c r="L495" s="78"/>
    </row>
    <row r="496" spans="1:13" ht="72" x14ac:dyDescent="0.2">
      <c r="A496" s="56" t="s">
        <v>1459</v>
      </c>
      <c r="B496" s="277" t="s">
        <v>2903</v>
      </c>
      <c r="C496" s="608"/>
      <c r="D496" s="626" t="s">
        <v>554</v>
      </c>
      <c r="E496" s="272" t="s">
        <v>1460</v>
      </c>
      <c r="F496" s="361" t="s">
        <v>1475</v>
      </c>
      <c r="G496" s="187" t="s">
        <v>49</v>
      </c>
      <c r="H496" s="187" t="s">
        <v>78</v>
      </c>
      <c r="I496" s="188">
        <f>(946726)/1000*$I$5</f>
        <v>946.726</v>
      </c>
      <c r="J496" s="188">
        <f t="shared" si="19"/>
        <v>946.726</v>
      </c>
      <c r="K496" s="358" t="s">
        <v>564</v>
      </c>
      <c r="L496" s="59"/>
      <c r="M496" s="248" t="s">
        <v>563</v>
      </c>
    </row>
    <row r="497" spans="1:13" ht="48" x14ac:dyDescent="0.2">
      <c r="A497" s="56" t="s">
        <v>1462</v>
      </c>
      <c r="B497" s="277" t="s">
        <v>2904</v>
      </c>
      <c r="C497" s="608"/>
      <c r="D497" s="617"/>
      <c r="E497" s="272" t="s">
        <v>1461</v>
      </c>
      <c r="F497" s="361" t="s">
        <v>1465</v>
      </c>
      <c r="G497" s="187" t="s">
        <v>124</v>
      </c>
      <c r="H497" s="187" t="s">
        <v>54</v>
      </c>
      <c r="I497" s="188">
        <f>(686086)/1000*$I$5</f>
        <v>686.08600000000001</v>
      </c>
      <c r="J497" s="188">
        <f t="shared" si="19"/>
        <v>686.08600000000001</v>
      </c>
      <c r="K497" s="358"/>
      <c r="L497" s="59"/>
      <c r="M497" s="248"/>
    </row>
    <row r="498" spans="1:13" ht="48" x14ac:dyDescent="0.2">
      <c r="A498" s="56" t="s">
        <v>1463</v>
      </c>
      <c r="B498" s="277" t="s">
        <v>2905</v>
      </c>
      <c r="C498" s="608"/>
      <c r="D498" s="617"/>
      <c r="E498" s="272" t="s">
        <v>620</v>
      </c>
      <c r="F498" s="361" t="s">
        <v>1466</v>
      </c>
      <c r="G498" s="187" t="s">
        <v>4</v>
      </c>
      <c r="H498" s="187" t="s">
        <v>5</v>
      </c>
      <c r="I498" s="188">
        <f>(740000+867118)/1000*$I$5</f>
        <v>1607.1179999999999</v>
      </c>
      <c r="J498" s="188">
        <f t="shared" si="19"/>
        <v>1607.1179999999999</v>
      </c>
      <c r="K498" s="358" t="s">
        <v>565</v>
      </c>
      <c r="L498" s="59"/>
      <c r="M498" s="248" t="s">
        <v>620</v>
      </c>
    </row>
    <row r="499" spans="1:13" ht="48" x14ac:dyDescent="0.2">
      <c r="A499" s="56" t="s">
        <v>1464</v>
      </c>
      <c r="B499" s="277" t="s">
        <v>2906</v>
      </c>
      <c r="C499" s="608"/>
      <c r="D499" s="617"/>
      <c r="E499" s="272" t="s">
        <v>621</v>
      </c>
      <c r="F499" s="361" t="s">
        <v>1467</v>
      </c>
      <c r="G499" s="187" t="s">
        <v>137</v>
      </c>
      <c r="H499" s="187" t="s">
        <v>9</v>
      </c>
      <c r="I499" s="188">
        <f>(1509648+1083366)/1000*$I$5</f>
        <v>2593.0140000000001</v>
      </c>
      <c r="J499" s="188">
        <f t="shared" si="19"/>
        <v>2593.0140000000001</v>
      </c>
      <c r="K499" s="358" t="s">
        <v>565</v>
      </c>
      <c r="L499" s="59"/>
      <c r="M499" s="248" t="s">
        <v>621</v>
      </c>
    </row>
    <row r="500" spans="1:13" ht="48" x14ac:dyDescent="0.2">
      <c r="A500" s="56" t="s">
        <v>1472</v>
      </c>
      <c r="B500" s="277" t="s">
        <v>2907</v>
      </c>
      <c r="C500" s="608"/>
      <c r="D500" s="617"/>
      <c r="E500" s="272" t="s">
        <v>623</v>
      </c>
      <c r="F500" s="361" t="s">
        <v>1468</v>
      </c>
      <c r="G500" s="187" t="s">
        <v>508</v>
      </c>
      <c r="H500" s="187" t="s">
        <v>16</v>
      </c>
      <c r="I500" s="188">
        <f>(4608712+1700000)/1000*$I$5</f>
        <v>6308.7120000000004</v>
      </c>
      <c r="J500" s="188">
        <f t="shared" si="19"/>
        <v>6308.7120000000004</v>
      </c>
      <c r="K500" s="358" t="s">
        <v>565</v>
      </c>
      <c r="L500" s="59"/>
      <c r="M500" s="248" t="s">
        <v>623</v>
      </c>
    </row>
    <row r="501" spans="1:13" ht="72" x14ac:dyDescent="0.2">
      <c r="A501" s="56" t="s">
        <v>1473</v>
      </c>
      <c r="B501" s="277" t="s">
        <v>2908</v>
      </c>
      <c r="C501" s="608"/>
      <c r="D501" s="617"/>
      <c r="E501" s="272" t="s">
        <v>624</v>
      </c>
      <c r="F501" s="358" t="s">
        <v>1469</v>
      </c>
      <c r="G501" s="187" t="s">
        <v>61</v>
      </c>
      <c r="H501" s="187" t="s">
        <v>103</v>
      </c>
      <c r="I501" s="188">
        <f>(4390000074)/1000*$I$5</f>
        <v>4390000.074</v>
      </c>
      <c r="J501" s="188">
        <f t="shared" si="19"/>
        <v>4390000.074</v>
      </c>
      <c r="K501" s="358" t="s">
        <v>756</v>
      </c>
      <c r="L501" s="59"/>
      <c r="M501" s="60" t="s">
        <v>624</v>
      </c>
    </row>
    <row r="502" spans="1:13" s="281" customFormat="1" ht="27.75" customHeight="1" x14ac:dyDescent="0.2">
      <c r="A502" s="277"/>
      <c r="B502" s="277" t="s">
        <v>2909</v>
      </c>
      <c r="C502" s="608"/>
      <c r="D502" s="617"/>
      <c r="E502" s="344" t="s">
        <v>2167</v>
      </c>
      <c r="F502" s="367" t="s">
        <v>2169</v>
      </c>
      <c r="G502" s="277" t="s">
        <v>63</v>
      </c>
      <c r="H502" s="277" t="s">
        <v>63</v>
      </c>
      <c r="I502" s="279">
        <f>(1330000)/1000*$I$5</f>
        <v>1330</v>
      </c>
      <c r="J502" s="279">
        <f t="shared" ref="J502:J507" si="20">I502-(0)/1000*$I$5</f>
        <v>1330</v>
      </c>
      <c r="K502" s="367" t="s">
        <v>2169</v>
      </c>
      <c r="L502" s="283"/>
    </row>
    <row r="503" spans="1:13" s="281" customFormat="1" ht="30" customHeight="1" x14ac:dyDescent="0.2">
      <c r="A503" s="277"/>
      <c r="B503" s="277" t="s">
        <v>2910</v>
      </c>
      <c r="C503" s="608"/>
      <c r="D503" s="617"/>
      <c r="E503" s="344" t="s">
        <v>2168</v>
      </c>
      <c r="F503" s="367" t="s">
        <v>2170</v>
      </c>
      <c r="G503" s="277" t="s">
        <v>15</v>
      </c>
      <c r="H503" s="277" t="s">
        <v>1559</v>
      </c>
      <c r="I503" s="279">
        <f>(1280000)/1000*$I$5</f>
        <v>1280</v>
      </c>
      <c r="J503" s="279">
        <f t="shared" si="20"/>
        <v>1280</v>
      </c>
      <c r="K503" s="367" t="s">
        <v>2170</v>
      </c>
      <c r="L503" s="283"/>
    </row>
    <row r="504" spans="1:13" s="281" customFormat="1" ht="48" x14ac:dyDescent="0.2">
      <c r="A504" s="277"/>
      <c r="B504" s="277" t="s">
        <v>2911</v>
      </c>
      <c r="C504" s="608"/>
      <c r="D504" s="617"/>
      <c r="E504" s="344" t="s">
        <v>2184</v>
      </c>
      <c r="F504" s="367" t="s">
        <v>2185</v>
      </c>
      <c r="G504" s="277" t="s">
        <v>610</v>
      </c>
      <c r="H504" s="277" t="s">
        <v>1721</v>
      </c>
      <c r="I504" s="279">
        <f>(180000)/1000*$I$5</f>
        <v>180</v>
      </c>
      <c r="J504" s="279">
        <f t="shared" si="20"/>
        <v>180</v>
      </c>
      <c r="K504" s="367" t="s">
        <v>2186</v>
      </c>
      <c r="L504" s="283"/>
    </row>
    <row r="505" spans="1:13" s="281" customFormat="1" ht="36" x14ac:dyDescent="0.2">
      <c r="A505" s="277"/>
      <c r="B505" s="277" t="s">
        <v>2912</v>
      </c>
      <c r="C505" s="608"/>
      <c r="D505" s="617"/>
      <c r="E505" s="344" t="s">
        <v>2189</v>
      </c>
      <c r="F505" s="367" t="s">
        <v>2191</v>
      </c>
      <c r="G505" s="277" t="s">
        <v>1721</v>
      </c>
      <c r="H505" s="277" t="s">
        <v>1520</v>
      </c>
      <c r="I505" s="279">
        <f>(1392400)/1000*$I$5</f>
        <v>1392.4</v>
      </c>
      <c r="J505" s="279">
        <f t="shared" si="20"/>
        <v>1392.4</v>
      </c>
      <c r="K505" s="367" t="s">
        <v>2187</v>
      </c>
      <c r="L505" s="283"/>
    </row>
    <row r="506" spans="1:13" s="281" customFormat="1" ht="36" x14ac:dyDescent="0.2">
      <c r="A506" s="277"/>
      <c r="B506" s="277" t="s">
        <v>2913</v>
      </c>
      <c r="C506" s="608"/>
      <c r="D506" s="617"/>
      <c r="E506" s="344" t="s">
        <v>2188</v>
      </c>
      <c r="F506" s="367" t="s">
        <v>2190</v>
      </c>
      <c r="G506" s="277" t="s">
        <v>1591</v>
      </c>
      <c r="H506" s="277" t="s">
        <v>1522</v>
      </c>
      <c r="I506" s="279">
        <f>(1303585)/1000*$I$5</f>
        <v>1303.585</v>
      </c>
      <c r="J506" s="279">
        <f t="shared" si="20"/>
        <v>1303.585</v>
      </c>
      <c r="K506" s="367" t="s">
        <v>2187</v>
      </c>
      <c r="L506" s="283"/>
    </row>
    <row r="507" spans="1:13" s="281" customFormat="1" ht="36" x14ac:dyDescent="0.2">
      <c r="A507" s="277"/>
      <c r="B507" s="277" t="s">
        <v>2914</v>
      </c>
      <c r="C507" s="628"/>
      <c r="D507" s="617"/>
      <c r="E507" s="344" t="s">
        <v>2192</v>
      </c>
      <c r="F507" s="367" t="s">
        <v>2193</v>
      </c>
      <c r="G507" s="277" t="s">
        <v>1579</v>
      </c>
      <c r="H507" s="277" t="s">
        <v>638</v>
      </c>
      <c r="I507" s="279">
        <f>(730040)/1000*$I$5</f>
        <v>730.04</v>
      </c>
      <c r="J507" s="279">
        <f t="shared" si="20"/>
        <v>730.04</v>
      </c>
      <c r="K507" s="367" t="s">
        <v>2193</v>
      </c>
      <c r="L507" s="283"/>
    </row>
    <row r="508" spans="1:13" s="281" customFormat="1" ht="108" x14ac:dyDescent="0.2">
      <c r="A508" s="277"/>
      <c r="B508" s="277" t="s">
        <v>2915</v>
      </c>
      <c r="C508" s="632" t="s">
        <v>2443</v>
      </c>
      <c r="D508" s="386" t="s">
        <v>2441</v>
      </c>
      <c r="E508" s="387" t="s">
        <v>2442</v>
      </c>
      <c r="F508" s="299" t="s">
        <v>2440</v>
      </c>
      <c r="G508" s="300" t="s">
        <v>1636</v>
      </c>
      <c r="H508" s="300" t="s">
        <v>1743</v>
      </c>
      <c r="I508" s="301">
        <f>(44416464.29)/1000*$I$5</f>
        <v>44416.464289999996</v>
      </c>
      <c r="J508" s="301">
        <f>I508-(563141)/1000*$I$5</f>
        <v>43853.323289999993</v>
      </c>
      <c r="K508" s="367" t="s">
        <v>2444</v>
      </c>
      <c r="L508" s="283"/>
    </row>
    <row r="509" spans="1:13" s="281" customFormat="1" ht="120" x14ac:dyDescent="0.2">
      <c r="A509" s="277"/>
      <c r="B509" s="277" t="s">
        <v>2916</v>
      </c>
      <c r="C509" s="633"/>
      <c r="D509" s="386" t="s">
        <v>2539</v>
      </c>
      <c r="E509" s="387" t="s">
        <v>2540</v>
      </c>
      <c r="F509" s="299" t="s">
        <v>2538</v>
      </c>
      <c r="G509" s="300" t="s">
        <v>1603</v>
      </c>
      <c r="H509" s="300" t="s">
        <v>2245</v>
      </c>
      <c r="I509" s="301">
        <f>(6100000)/1000*$I$5</f>
        <v>6100</v>
      </c>
      <c r="J509" s="301">
        <f>I509-(1438763+430000)/1000*$I$5</f>
        <v>4231.2370000000001</v>
      </c>
      <c r="K509" s="367" t="s">
        <v>2444</v>
      </c>
      <c r="L509" s="283"/>
    </row>
    <row r="510" spans="1:13" s="281" customFormat="1" ht="132" x14ac:dyDescent="0.2">
      <c r="A510" s="277"/>
      <c r="B510" s="277" t="s">
        <v>2917</v>
      </c>
      <c r="C510" s="364" t="s">
        <v>2462</v>
      </c>
      <c r="D510" s="343" t="s">
        <v>2468</v>
      </c>
      <c r="E510" s="344" t="s">
        <v>2461</v>
      </c>
      <c r="F510" s="367" t="s">
        <v>2459</v>
      </c>
      <c r="G510" s="277" t="s">
        <v>1614</v>
      </c>
      <c r="H510" s="277" t="s">
        <v>1526</v>
      </c>
      <c r="I510" s="279">
        <f>(2003762)/1000*$I$5</f>
        <v>2003.7619999999999</v>
      </c>
      <c r="J510" s="279">
        <f t="shared" ref="J510:J518" si="21">I510-(0)/1000*$I$5</f>
        <v>2003.7619999999999</v>
      </c>
      <c r="K510" s="367" t="s">
        <v>2460</v>
      </c>
      <c r="L510" s="283"/>
    </row>
    <row r="511" spans="1:13" s="281" customFormat="1" ht="132" x14ac:dyDescent="0.2">
      <c r="A511" s="277"/>
      <c r="B511" s="277" t="s">
        <v>2918</v>
      </c>
      <c r="C511" s="364" t="s">
        <v>2974</v>
      </c>
      <c r="D511" s="286" t="s">
        <v>2975</v>
      </c>
      <c r="E511" s="344" t="s">
        <v>2470</v>
      </c>
      <c r="F511" s="367" t="s">
        <v>2469</v>
      </c>
      <c r="G511" s="277" t="s">
        <v>1526</v>
      </c>
      <c r="H511" s="277" t="s">
        <v>1527</v>
      </c>
      <c r="I511" s="279">
        <f>(456093)/1000*$I$5</f>
        <v>456.09300000000002</v>
      </c>
      <c r="J511" s="279">
        <f t="shared" si="21"/>
        <v>456.09300000000002</v>
      </c>
      <c r="K511" s="367" t="s">
        <v>2460</v>
      </c>
      <c r="L511" s="283"/>
    </row>
    <row r="512" spans="1:13" s="281" customFormat="1" ht="120" x14ac:dyDescent="0.2">
      <c r="A512" s="277"/>
      <c r="B512" s="300" t="s">
        <v>2919</v>
      </c>
      <c r="C512" s="366" t="s">
        <v>2473</v>
      </c>
      <c r="D512" s="386" t="s">
        <v>2474</v>
      </c>
      <c r="E512" s="387" t="s">
        <v>2475</v>
      </c>
      <c r="F512" s="299" t="s">
        <v>2472</v>
      </c>
      <c r="G512" s="300" t="s">
        <v>1635</v>
      </c>
      <c r="H512" s="300" t="s">
        <v>1875</v>
      </c>
      <c r="I512" s="301">
        <f>(452377)/1000*$I$5</f>
        <v>452.37700000000001</v>
      </c>
      <c r="J512" s="301">
        <f t="shared" si="21"/>
        <v>452.37700000000001</v>
      </c>
      <c r="K512" s="367" t="s">
        <v>2471</v>
      </c>
      <c r="L512" s="283"/>
    </row>
    <row r="513" spans="1:13" s="281" customFormat="1" ht="96" x14ac:dyDescent="0.2">
      <c r="A513" s="277"/>
      <c r="B513" s="300" t="s">
        <v>2920</v>
      </c>
      <c r="C513" s="366" t="s">
        <v>2476</v>
      </c>
      <c r="D513" s="299" t="s">
        <v>2480</v>
      </c>
      <c r="E513" s="387" t="s">
        <v>2478</v>
      </c>
      <c r="F513" s="299" t="s">
        <v>2479</v>
      </c>
      <c r="G513" s="300" t="s">
        <v>1635</v>
      </c>
      <c r="H513" s="300" t="s">
        <v>1526</v>
      </c>
      <c r="I513" s="301">
        <f>(397284)/1000*$I$5</f>
        <v>397.28399999999999</v>
      </c>
      <c r="J513" s="301">
        <f t="shared" si="21"/>
        <v>397.28399999999999</v>
      </c>
      <c r="K513" s="367" t="s">
        <v>2477</v>
      </c>
      <c r="L513" s="283"/>
    </row>
    <row r="514" spans="1:13" s="281" customFormat="1" ht="96" x14ac:dyDescent="0.2">
      <c r="A514" s="277"/>
      <c r="B514" s="294" t="s">
        <v>2921</v>
      </c>
      <c r="C514" s="385" t="s">
        <v>2482</v>
      </c>
      <c r="D514" s="389" t="s">
        <v>2483</v>
      </c>
      <c r="E514" s="390" t="s">
        <v>2484</v>
      </c>
      <c r="F514" s="368" t="s">
        <v>2481</v>
      </c>
      <c r="G514" s="294" t="s">
        <v>1526</v>
      </c>
      <c r="H514" s="294" t="s">
        <v>1636</v>
      </c>
      <c r="I514" s="311">
        <f>(338983)/1000*$I$5</f>
        <v>338.983</v>
      </c>
      <c r="J514" s="311">
        <f t="shared" si="21"/>
        <v>338.983</v>
      </c>
      <c r="K514" s="367" t="s">
        <v>2485</v>
      </c>
      <c r="L514" s="283"/>
    </row>
    <row r="515" spans="1:13" s="281" customFormat="1" ht="108" x14ac:dyDescent="0.2">
      <c r="A515" s="300"/>
      <c r="B515" s="294" t="s">
        <v>2922</v>
      </c>
      <c r="C515" s="388" t="s">
        <v>2491</v>
      </c>
      <c r="D515" s="386" t="s">
        <v>2492</v>
      </c>
      <c r="E515" s="387" t="s">
        <v>2493</v>
      </c>
      <c r="F515" s="299" t="s">
        <v>2490</v>
      </c>
      <c r="G515" s="300" t="s">
        <v>1643</v>
      </c>
      <c r="H515" s="300" t="s">
        <v>1527</v>
      </c>
      <c r="I515" s="301">
        <f>(338983)/1000*$I$5</f>
        <v>338.983</v>
      </c>
      <c r="J515" s="301">
        <f t="shared" si="21"/>
        <v>338.983</v>
      </c>
      <c r="K515" s="367" t="s">
        <v>2485</v>
      </c>
      <c r="L515" s="283"/>
    </row>
    <row r="516" spans="1:13" s="281" customFormat="1" ht="48" x14ac:dyDescent="0.2">
      <c r="A516" s="300"/>
      <c r="B516" s="294" t="s">
        <v>2923</v>
      </c>
      <c r="C516" s="388" t="s">
        <v>2497</v>
      </c>
      <c r="D516" s="386" t="s">
        <v>2496</v>
      </c>
      <c r="E516" s="387" t="s">
        <v>2495</v>
      </c>
      <c r="F516" s="299" t="s">
        <v>2494</v>
      </c>
      <c r="G516" s="300" t="s">
        <v>1643</v>
      </c>
      <c r="H516" s="300" t="s">
        <v>1527</v>
      </c>
      <c r="I516" s="301">
        <f>(855954)/1000*$I$5</f>
        <v>855.95399999999995</v>
      </c>
      <c r="J516" s="301">
        <f t="shared" si="21"/>
        <v>855.95399999999995</v>
      </c>
      <c r="K516" s="367" t="s">
        <v>2498</v>
      </c>
      <c r="L516" s="283"/>
    </row>
    <row r="517" spans="1:13" s="281" customFormat="1" ht="48" x14ac:dyDescent="0.2">
      <c r="A517" s="300"/>
      <c r="B517" s="294" t="s">
        <v>2924</v>
      </c>
      <c r="C517" s="299" t="s">
        <v>2555</v>
      </c>
      <c r="D517" s="299" t="s">
        <v>2554</v>
      </c>
      <c r="E517" s="298" t="s">
        <v>2552</v>
      </c>
      <c r="F517" s="299" t="s">
        <v>2553</v>
      </c>
      <c r="G517" s="300" t="s">
        <v>1527</v>
      </c>
      <c r="H517" s="300" t="s">
        <v>1527</v>
      </c>
      <c r="I517" s="301">
        <f>(89448)/1000*$I$5</f>
        <v>89.447999999999993</v>
      </c>
      <c r="J517" s="301">
        <f t="shared" si="21"/>
        <v>89.447999999999993</v>
      </c>
      <c r="K517" s="367" t="s">
        <v>2556</v>
      </c>
      <c r="L517" s="283"/>
    </row>
    <row r="518" spans="1:13" ht="48" x14ac:dyDescent="0.2">
      <c r="A518" s="112" t="s">
        <v>1474</v>
      </c>
      <c r="B518" s="300" t="s">
        <v>2925</v>
      </c>
      <c r="C518" s="131" t="s">
        <v>1471</v>
      </c>
      <c r="D518" s="131" t="s">
        <v>637</v>
      </c>
      <c r="E518" s="183" t="s">
        <v>641</v>
      </c>
      <c r="F518" s="66" t="s">
        <v>1470</v>
      </c>
      <c r="G518" s="77" t="s">
        <v>141</v>
      </c>
      <c r="H518" s="77" t="s">
        <v>638</v>
      </c>
      <c r="I518" s="195">
        <f>(1240980)/1000*$I$5</f>
        <v>1240.98</v>
      </c>
      <c r="J518" s="195">
        <f t="shared" si="21"/>
        <v>1240.98</v>
      </c>
      <c r="K518" s="66" t="s">
        <v>640</v>
      </c>
      <c r="L518" s="78"/>
      <c r="M518" s="60" t="s">
        <v>641</v>
      </c>
    </row>
    <row r="519" spans="1:13" s="281" customFormat="1" ht="84" customHeight="1" x14ac:dyDescent="0.2">
      <c r="A519" s="300" t="s">
        <v>2146</v>
      </c>
      <c r="B519" s="300" t="s">
        <v>2927</v>
      </c>
      <c r="C519" s="629" t="s">
        <v>2140</v>
      </c>
      <c r="D519" s="629" t="s">
        <v>2141</v>
      </c>
      <c r="E519" s="298" t="s">
        <v>2142</v>
      </c>
      <c r="F519" s="299" t="s">
        <v>2145</v>
      </c>
      <c r="G519" s="300" t="s">
        <v>18</v>
      </c>
      <c r="H519" s="300" t="s">
        <v>18</v>
      </c>
      <c r="I519" s="301">
        <f>(67220)/1000*$I$5</f>
        <v>67.22</v>
      </c>
      <c r="J519" s="301">
        <f t="shared" ref="J519:J529" si="22">I519-(0)/1000*$I$5</f>
        <v>67.22</v>
      </c>
      <c r="K519" s="341" t="s">
        <v>2149</v>
      </c>
      <c r="L519" s="342"/>
    </row>
    <row r="520" spans="1:13" s="281" customFormat="1" ht="48" x14ac:dyDescent="0.2">
      <c r="A520" s="300"/>
      <c r="B520" s="300" t="s">
        <v>2928</v>
      </c>
      <c r="C520" s="630"/>
      <c r="D520" s="630"/>
      <c r="E520" s="298" t="s">
        <v>2143</v>
      </c>
      <c r="F520" s="299" t="s">
        <v>2145</v>
      </c>
      <c r="G520" s="300" t="s">
        <v>20</v>
      </c>
      <c r="H520" s="300" t="s">
        <v>20</v>
      </c>
      <c r="I520" s="301">
        <f>(67322)/1000*$I$5</f>
        <v>67.322000000000003</v>
      </c>
      <c r="J520" s="301">
        <f t="shared" si="22"/>
        <v>67.322000000000003</v>
      </c>
      <c r="K520" s="341" t="s">
        <v>2149</v>
      </c>
      <c r="L520" s="342"/>
    </row>
    <row r="521" spans="1:13" s="281" customFormat="1" ht="48" x14ac:dyDescent="0.2">
      <c r="A521" s="300"/>
      <c r="B521" s="300" t="s">
        <v>2929</v>
      </c>
      <c r="C521" s="630"/>
      <c r="D521" s="630"/>
      <c r="E521" s="298" t="s">
        <v>2144</v>
      </c>
      <c r="F521" s="299" t="s">
        <v>2145</v>
      </c>
      <c r="G521" s="300" t="s">
        <v>15</v>
      </c>
      <c r="H521" s="300" t="s">
        <v>15</v>
      </c>
      <c r="I521" s="301">
        <f>(66103)/1000*$I$5</f>
        <v>66.102999999999994</v>
      </c>
      <c r="J521" s="301">
        <f t="shared" si="22"/>
        <v>66.102999999999994</v>
      </c>
      <c r="K521" s="341" t="s">
        <v>2149</v>
      </c>
      <c r="L521" s="342"/>
    </row>
    <row r="522" spans="1:13" s="281" customFormat="1" ht="84" x14ac:dyDescent="0.2">
      <c r="A522" s="300"/>
      <c r="B522" s="300" t="s">
        <v>2930</v>
      </c>
      <c r="C522" s="630"/>
      <c r="D522" s="630"/>
      <c r="E522" s="298" t="s">
        <v>2150</v>
      </c>
      <c r="F522" s="299" t="s">
        <v>2147</v>
      </c>
      <c r="G522" s="300" t="s">
        <v>1520</v>
      </c>
      <c r="H522" s="300" t="s">
        <v>1575</v>
      </c>
      <c r="I522" s="301">
        <f>(83050)/1000*$I$5</f>
        <v>83.05</v>
      </c>
      <c r="J522" s="301">
        <f t="shared" si="22"/>
        <v>83.05</v>
      </c>
      <c r="K522" s="341" t="s">
        <v>2148</v>
      </c>
      <c r="L522" s="342"/>
    </row>
    <row r="523" spans="1:13" s="281" customFormat="1" ht="36" x14ac:dyDescent="0.2">
      <c r="A523" s="300"/>
      <c r="B523" s="300" t="s">
        <v>2931</v>
      </c>
      <c r="C523" s="630"/>
      <c r="D523" s="630"/>
      <c r="E523" s="298" t="s">
        <v>2151</v>
      </c>
      <c r="F523" s="299" t="s">
        <v>2154</v>
      </c>
      <c r="G523" s="300" t="s">
        <v>1869</v>
      </c>
      <c r="H523" s="300" t="s">
        <v>1522</v>
      </c>
      <c r="I523" s="301">
        <f>(625561)/1000*$I$5</f>
        <v>625.56100000000004</v>
      </c>
      <c r="J523" s="301">
        <f t="shared" si="22"/>
        <v>625.56100000000004</v>
      </c>
      <c r="K523" s="341" t="s">
        <v>2157</v>
      </c>
      <c r="L523" s="342"/>
    </row>
    <row r="524" spans="1:13" s="281" customFormat="1" ht="96" x14ac:dyDescent="0.2">
      <c r="A524" s="300"/>
      <c r="B524" s="300" t="s">
        <v>2932</v>
      </c>
      <c r="C524" s="630"/>
      <c r="D524" s="630"/>
      <c r="E524" s="298" t="s">
        <v>2158</v>
      </c>
      <c r="F524" s="299" t="s">
        <v>2156</v>
      </c>
      <c r="G524" s="300" t="s">
        <v>1635</v>
      </c>
      <c r="H524" s="300" t="s">
        <v>1596</v>
      </c>
      <c r="I524" s="301">
        <f>(1484769.95)/1000*$I$5</f>
        <v>1484.7699499999999</v>
      </c>
      <c r="J524" s="301">
        <f t="shared" si="22"/>
        <v>1484.7699499999999</v>
      </c>
      <c r="K524" s="341" t="s">
        <v>2155</v>
      </c>
      <c r="L524" s="342"/>
    </row>
    <row r="525" spans="1:13" s="281" customFormat="1" ht="60" x14ac:dyDescent="0.2">
      <c r="A525" s="300"/>
      <c r="B525" s="300" t="s">
        <v>2933</v>
      </c>
      <c r="C525" s="630"/>
      <c r="D525" s="630"/>
      <c r="E525" s="298" t="s">
        <v>2152</v>
      </c>
      <c r="F525" s="299" t="s">
        <v>2160</v>
      </c>
      <c r="G525" s="300" t="s">
        <v>1635</v>
      </c>
      <c r="H525" s="300" t="s">
        <v>1636</v>
      </c>
      <c r="I525" s="301">
        <f>(1447457.63)/1000*$I$5</f>
        <v>1447.4576299999999</v>
      </c>
      <c r="J525" s="301">
        <f t="shared" si="22"/>
        <v>1447.4576299999999</v>
      </c>
      <c r="K525" s="341" t="s">
        <v>2159</v>
      </c>
      <c r="L525" s="342"/>
    </row>
    <row r="526" spans="1:13" s="281" customFormat="1" ht="60" x14ac:dyDescent="0.2">
      <c r="A526" s="300"/>
      <c r="B526" s="300" t="s">
        <v>2934</v>
      </c>
      <c r="C526" s="631"/>
      <c r="D526" s="631"/>
      <c r="E526" s="298" t="s">
        <v>2153</v>
      </c>
      <c r="F526" s="299" t="s">
        <v>2198</v>
      </c>
      <c r="G526" s="300" t="s">
        <v>1643</v>
      </c>
      <c r="H526" s="300" t="s">
        <v>1643</v>
      </c>
      <c r="I526" s="301">
        <f>(107436)/1000*$I$5</f>
        <v>107.43600000000001</v>
      </c>
      <c r="J526" s="301">
        <f t="shared" si="22"/>
        <v>107.43600000000001</v>
      </c>
      <c r="K526" s="341" t="s">
        <v>2161</v>
      </c>
      <c r="L526" s="342"/>
    </row>
    <row r="527" spans="1:13" s="281" customFormat="1" ht="48" x14ac:dyDescent="0.2">
      <c r="A527" s="300"/>
      <c r="B527" s="300" t="s">
        <v>2935</v>
      </c>
      <c r="C527" s="629" t="s">
        <v>2201</v>
      </c>
      <c r="D527" s="629" t="s">
        <v>2199</v>
      </c>
      <c r="E527" s="298" t="s">
        <v>2194</v>
      </c>
      <c r="F527" s="299" t="s">
        <v>2200</v>
      </c>
      <c r="G527" s="300" t="s">
        <v>17</v>
      </c>
      <c r="H527" s="300" t="s">
        <v>598</v>
      </c>
      <c r="I527" s="301">
        <f>(131786)/1000*$I$5</f>
        <v>131.786</v>
      </c>
      <c r="J527" s="301">
        <f t="shared" si="22"/>
        <v>131.786</v>
      </c>
      <c r="K527" s="341" t="s">
        <v>2202</v>
      </c>
      <c r="L527" s="342"/>
    </row>
    <row r="528" spans="1:13" s="281" customFormat="1" ht="36" x14ac:dyDescent="0.2">
      <c r="A528" s="300"/>
      <c r="B528" s="300" t="s">
        <v>2936</v>
      </c>
      <c r="C528" s="630"/>
      <c r="D528" s="630"/>
      <c r="E528" s="298" t="s">
        <v>2195</v>
      </c>
      <c r="F528" s="299" t="s">
        <v>2203</v>
      </c>
      <c r="G528" s="300" t="s">
        <v>17</v>
      </c>
      <c r="H528" s="300" t="s">
        <v>598</v>
      </c>
      <c r="I528" s="301">
        <f>(335844)/1000*$I$5</f>
        <v>335.84399999999999</v>
      </c>
      <c r="J528" s="301">
        <f t="shared" si="22"/>
        <v>335.84399999999999</v>
      </c>
      <c r="K528" s="341" t="s">
        <v>2204</v>
      </c>
      <c r="L528" s="342"/>
    </row>
    <row r="529" spans="1:12" s="281" customFormat="1" ht="60" x14ac:dyDescent="0.2">
      <c r="A529" s="300"/>
      <c r="B529" s="300" t="s">
        <v>2937</v>
      </c>
      <c r="C529" s="631"/>
      <c r="D529" s="631"/>
      <c r="E529" s="298" t="s">
        <v>2196</v>
      </c>
      <c r="F529" s="299" t="s">
        <v>2197</v>
      </c>
      <c r="G529" s="300" t="s">
        <v>17</v>
      </c>
      <c r="H529" s="300" t="s">
        <v>598</v>
      </c>
      <c r="I529" s="301">
        <f>(282015)/1000*$I$5</f>
        <v>282.01499999999999</v>
      </c>
      <c r="J529" s="301">
        <f t="shared" si="22"/>
        <v>282.01499999999999</v>
      </c>
      <c r="K529" s="341" t="s">
        <v>2204</v>
      </c>
      <c r="L529" s="342"/>
    </row>
    <row r="530" spans="1:12" s="281" customFormat="1" ht="96" customHeight="1" x14ac:dyDescent="0.2">
      <c r="A530" s="300"/>
      <c r="B530" s="300" t="s">
        <v>2938</v>
      </c>
      <c r="C530" s="629" t="s">
        <v>2448</v>
      </c>
      <c r="D530" s="629" t="s">
        <v>2385</v>
      </c>
      <c r="E530" s="298" t="s">
        <v>2384</v>
      </c>
      <c r="F530" s="299" t="s">
        <v>2382</v>
      </c>
      <c r="G530" s="300" t="s">
        <v>638</v>
      </c>
      <c r="H530" s="300" t="s">
        <v>638</v>
      </c>
      <c r="I530" s="301">
        <f>(338022)/1000*$I$5</f>
        <v>338.02199999999999</v>
      </c>
      <c r="J530" s="301">
        <f>I530-(0)/1000*$I$5</f>
        <v>338.02199999999999</v>
      </c>
      <c r="K530" s="367" t="s">
        <v>2383</v>
      </c>
      <c r="L530" s="283"/>
    </row>
    <row r="531" spans="1:12" s="281" customFormat="1" ht="60" x14ac:dyDescent="0.2">
      <c r="A531" s="300"/>
      <c r="B531" s="300" t="s">
        <v>2939</v>
      </c>
      <c r="C531" s="630"/>
      <c r="D531" s="630"/>
      <c r="E531" s="298" t="s">
        <v>2449</v>
      </c>
      <c r="F531" s="299" t="s">
        <v>2450</v>
      </c>
      <c r="G531" s="300" t="s">
        <v>1869</v>
      </c>
      <c r="H531" s="300" t="s">
        <v>1869</v>
      </c>
      <c r="I531" s="301">
        <f>(36913)/1000*$I$5</f>
        <v>36.912999999999997</v>
      </c>
      <c r="J531" s="301">
        <f>I531-(0)/1000*$I$5</f>
        <v>36.912999999999997</v>
      </c>
      <c r="K531" s="367" t="s">
        <v>2451</v>
      </c>
      <c r="L531" s="283"/>
    </row>
    <row r="532" spans="1:12" s="281" customFormat="1" ht="48" x14ac:dyDescent="0.2">
      <c r="A532" s="300"/>
      <c r="B532" s="300" t="s">
        <v>2940</v>
      </c>
      <c r="C532" s="631"/>
      <c r="D532" s="631"/>
      <c r="E532" s="298" t="s">
        <v>2452</v>
      </c>
      <c r="F532" s="299" t="s">
        <v>2453</v>
      </c>
      <c r="G532" s="300" t="s">
        <v>1869</v>
      </c>
      <c r="H532" s="300" t="s">
        <v>1869</v>
      </c>
      <c r="I532" s="301">
        <f>(57878)/1000*$I$5</f>
        <v>57.878</v>
      </c>
      <c r="J532" s="301">
        <f>I532-(0)/1000*$I$5</f>
        <v>57.878</v>
      </c>
      <c r="K532" s="367" t="s">
        <v>2454</v>
      </c>
      <c r="L532" s="283"/>
    </row>
    <row r="533" spans="1:12" s="281" customFormat="1" ht="132" x14ac:dyDescent="0.2">
      <c r="A533" s="300"/>
      <c r="B533" s="300" t="s">
        <v>2926</v>
      </c>
      <c r="C533" s="299" t="s">
        <v>2464</v>
      </c>
      <c r="D533" s="299" t="s">
        <v>2463</v>
      </c>
      <c r="E533" s="298" t="s">
        <v>2467</v>
      </c>
      <c r="F533" s="299" t="s">
        <v>2465</v>
      </c>
      <c r="G533" s="300" t="s">
        <v>1522</v>
      </c>
      <c r="H533" s="300" t="s">
        <v>1522</v>
      </c>
      <c r="I533" s="301">
        <f>(52000)/1000*$I$5</f>
        <v>52</v>
      </c>
      <c r="J533" s="301">
        <f>I533-(0)/1000*$I$5</f>
        <v>52</v>
      </c>
      <c r="K533" s="367" t="s">
        <v>2466</v>
      </c>
      <c r="L533" s="283"/>
    </row>
    <row r="534" spans="1:12" s="281" customFormat="1" ht="60" x14ac:dyDescent="0.2">
      <c r="A534" s="300"/>
      <c r="B534" s="300" t="s">
        <v>2941</v>
      </c>
      <c r="C534" s="299" t="s">
        <v>2502</v>
      </c>
      <c r="D534" s="299" t="s">
        <v>2499</v>
      </c>
      <c r="E534" s="298" t="s">
        <v>2503</v>
      </c>
      <c r="F534" s="299" t="s">
        <v>2501</v>
      </c>
      <c r="G534" s="300" t="s">
        <v>1875</v>
      </c>
      <c r="H534" s="300" t="s">
        <v>1875</v>
      </c>
      <c r="I534" s="301">
        <f>(78158)/1000*$I$5</f>
        <v>78.158000000000001</v>
      </c>
      <c r="J534" s="301">
        <f>I534-(0)/1000*$I$5</f>
        <v>78.158000000000001</v>
      </c>
      <c r="K534" s="367" t="s">
        <v>2500</v>
      </c>
      <c r="L534" s="283"/>
    </row>
    <row r="535" spans="1:12" x14ac:dyDescent="0.2">
      <c r="E535" s="60"/>
      <c r="F535" s="60"/>
    </row>
    <row r="537" spans="1:12" x14ac:dyDescent="0.2">
      <c r="C537" s="625" t="s">
        <v>796</v>
      </c>
      <c r="D537" s="625"/>
      <c r="E537" s="625"/>
      <c r="F537" s="625"/>
      <c r="G537" s="625"/>
      <c r="H537" s="625"/>
      <c r="I537" s="625"/>
      <c r="J537" s="625"/>
      <c r="K537" s="625"/>
      <c r="L537" s="625"/>
    </row>
    <row r="539" spans="1:12" x14ac:dyDescent="0.2">
      <c r="A539" s="60" t="s">
        <v>806</v>
      </c>
    </row>
  </sheetData>
  <mergeCells count="105">
    <mergeCell ref="E341:E355"/>
    <mergeCell ref="D398:D478"/>
    <mergeCell ref="C289:C290"/>
    <mergeCell ref="D301:D302"/>
    <mergeCell ref="D308:D312"/>
    <mergeCell ref="C236:C237"/>
    <mergeCell ref="C245:C248"/>
    <mergeCell ref="C250:C252"/>
    <mergeCell ref="C254:C256"/>
    <mergeCell ref="C261:C266"/>
    <mergeCell ref="A6:A7"/>
    <mergeCell ref="C6:C7"/>
    <mergeCell ref="D6:D7"/>
    <mergeCell ref="D195:D197"/>
    <mergeCell ref="C172:C176"/>
    <mergeCell ref="C184:C186"/>
    <mergeCell ref="D78:D79"/>
    <mergeCell ref="D44:D46"/>
    <mergeCell ref="D47:D49"/>
    <mergeCell ref="D54:D56"/>
    <mergeCell ref="D68:D69"/>
    <mergeCell ref="D66:D67"/>
    <mergeCell ref="D75:D76"/>
    <mergeCell ref="D171:D181"/>
    <mergeCell ref="D183:D189"/>
    <mergeCell ref="D193:D194"/>
    <mergeCell ref="D150:D151"/>
    <mergeCell ref="D152:D154"/>
    <mergeCell ref="D164:D168"/>
    <mergeCell ref="D155:D156"/>
    <mergeCell ref="D85:D86"/>
    <mergeCell ref="D94:D95"/>
    <mergeCell ref="B6:B7"/>
    <mergeCell ref="D106:D107"/>
    <mergeCell ref="K172:K176"/>
    <mergeCell ref="K177:K181"/>
    <mergeCell ref="K184:K186"/>
    <mergeCell ref="D129:D130"/>
    <mergeCell ref="L6:L7"/>
    <mergeCell ref="D10:D11"/>
    <mergeCell ref="D12:D13"/>
    <mergeCell ref="D16:D18"/>
    <mergeCell ref="G6:H6"/>
    <mergeCell ref="E6:E7"/>
    <mergeCell ref="F6:F7"/>
    <mergeCell ref="I6:J6"/>
    <mergeCell ref="K6:K7"/>
    <mergeCell ref="D20:D21"/>
    <mergeCell ref="D26:D33"/>
    <mergeCell ref="D34:D35"/>
    <mergeCell ref="K164:K168"/>
    <mergeCell ref="D83:D84"/>
    <mergeCell ref="D90:D91"/>
    <mergeCell ref="D112:D113"/>
    <mergeCell ref="D114:D115"/>
    <mergeCell ref="D120:D121"/>
    <mergeCell ref="D123:D125"/>
    <mergeCell ref="D144:D148"/>
    <mergeCell ref="C537:L537"/>
    <mergeCell ref="D245:D249"/>
    <mergeCell ref="D259:D260"/>
    <mergeCell ref="D277:D278"/>
    <mergeCell ref="D279:D280"/>
    <mergeCell ref="D378:D392"/>
    <mergeCell ref="C493:C494"/>
    <mergeCell ref="D493:D494"/>
    <mergeCell ref="D479:D480"/>
    <mergeCell ref="C301:C303"/>
    <mergeCell ref="C304:C305"/>
    <mergeCell ref="C307:C311"/>
    <mergeCell ref="C320:C321"/>
    <mergeCell ref="D262:D267"/>
    <mergeCell ref="C282:C284"/>
    <mergeCell ref="C323:C333"/>
    <mergeCell ref="D323:D333"/>
    <mergeCell ref="C337:C339"/>
    <mergeCell ref="D337:D339"/>
    <mergeCell ref="D340:D355"/>
    <mergeCell ref="D359:D360"/>
    <mergeCell ref="C365:C367"/>
    <mergeCell ref="C373:C376"/>
    <mergeCell ref="D496:D507"/>
    <mergeCell ref="C106:C107"/>
    <mergeCell ref="C268:C269"/>
    <mergeCell ref="D299:D300"/>
    <mergeCell ref="C203:C204"/>
    <mergeCell ref="C198:C200"/>
    <mergeCell ref="D238:D239"/>
    <mergeCell ref="C217:C218"/>
    <mergeCell ref="D217:D219"/>
    <mergeCell ref="D221:D225"/>
    <mergeCell ref="D209:D211"/>
    <mergeCell ref="D202:D207"/>
    <mergeCell ref="C207:C208"/>
    <mergeCell ref="C228:C229"/>
    <mergeCell ref="C234:C235"/>
    <mergeCell ref="C495:C507"/>
    <mergeCell ref="C530:C532"/>
    <mergeCell ref="D530:D532"/>
    <mergeCell ref="C508:C509"/>
    <mergeCell ref="C519:C526"/>
    <mergeCell ref="D519:D526"/>
    <mergeCell ref="C527:C529"/>
    <mergeCell ref="D527:D529"/>
    <mergeCell ref="D373:D376"/>
  </mergeCells>
  <pageMargins left="0.11811023622047245" right="0.11811023622047245" top="0.27559055118110237" bottom="0.27559055118110237" header="0.31496062992125984" footer="0.11811023622047245"/>
  <pageSetup paperSize="9" scale="92" fitToHeight="207" orientation="landscape" r:id="rId1"/>
  <headerFooter>
    <oddFooter>&amp;R&amp;P</oddFooter>
  </headerFooter>
  <rowBreaks count="1" manualBreakCount="1">
    <brk id="381"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609"/>
  <sheetViews>
    <sheetView showZeros="0" view="pageBreakPreview" topLeftCell="B5" zoomScale="120" zoomScaleNormal="120" zoomScaleSheetLayoutView="120" workbookViewId="0">
      <pane ySplit="4" topLeftCell="A563" activePane="bottomLeft" state="frozen"/>
      <selection activeCell="B5" sqref="B5"/>
      <selection pane="bottomLeft" activeCell="D561" sqref="D561:D572"/>
    </sheetView>
  </sheetViews>
  <sheetFormatPr defaultColWidth="9.140625" defaultRowHeight="12" x14ac:dyDescent="0.2"/>
  <cols>
    <col min="1" max="1" width="5.140625" style="60" hidden="1" customWidth="1"/>
    <col min="2" max="2" width="5.5703125" style="281" customWidth="1"/>
    <col min="3" max="3" width="29.5703125" style="60" customWidth="1"/>
    <col min="4" max="4" width="35.7109375" style="60" customWidth="1"/>
    <col min="5" max="5" width="9.85546875" style="274" customWidth="1"/>
    <col min="6" max="6" width="33" style="275" customWidth="1"/>
    <col min="7" max="7" width="9.140625" style="60" customWidth="1"/>
    <col min="8" max="8" width="10.42578125" style="60" customWidth="1"/>
    <col min="9" max="9" width="12.42578125" style="60" customWidth="1"/>
    <col min="10" max="10" width="11.42578125" style="60" customWidth="1"/>
    <col min="11" max="11" width="60.140625" style="60" customWidth="1"/>
    <col min="12" max="12" width="47.7109375" style="60" hidden="1" customWidth="1"/>
    <col min="13" max="13" width="47.7109375" style="60" customWidth="1"/>
    <col min="14" max="14" width="9.5703125" style="60" bestFit="1" customWidth="1"/>
    <col min="15" max="16384" width="9.140625" style="60"/>
  </cols>
  <sheetData>
    <row r="2" spans="1:13" x14ac:dyDescent="0.2">
      <c r="C2" s="276" t="s">
        <v>39</v>
      </c>
      <c r="D2" s="276"/>
      <c r="E2" s="276"/>
      <c r="F2" s="276"/>
      <c r="G2" s="276"/>
      <c r="H2" s="276"/>
      <c r="I2" s="276"/>
      <c r="J2" s="276"/>
      <c r="K2" s="276"/>
      <c r="L2" s="276"/>
    </row>
    <row r="3" spans="1:13" x14ac:dyDescent="0.2">
      <c r="C3" s="276" t="s">
        <v>40</v>
      </c>
      <c r="D3" s="276"/>
      <c r="E3" s="276"/>
      <c r="F3" s="276"/>
      <c r="G3" s="276"/>
      <c r="H3" s="276"/>
      <c r="I3" s="276"/>
      <c r="J3" s="276"/>
      <c r="K3" s="276"/>
      <c r="L3" s="276"/>
    </row>
    <row r="4" spans="1:13" ht="15" x14ac:dyDescent="0.2">
      <c r="C4" s="396" t="s">
        <v>2976</v>
      </c>
      <c r="D4" s="276"/>
      <c r="E4" s="276"/>
      <c r="F4" s="276"/>
      <c r="G4" s="276"/>
      <c r="H4" s="276"/>
      <c r="I4" s="276"/>
      <c r="J4" s="276"/>
      <c r="K4" s="276"/>
      <c r="L4" s="276"/>
    </row>
    <row r="5" spans="1:13" ht="15.6" customHeight="1" x14ac:dyDescent="0.2">
      <c r="C5" s="210"/>
      <c r="D5" s="210"/>
      <c r="E5" s="211"/>
      <c r="F5" s="212"/>
      <c r="G5" s="210"/>
      <c r="H5" s="210"/>
      <c r="I5" s="512">
        <v>1</v>
      </c>
      <c r="J5" s="512">
        <v>1</v>
      </c>
      <c r="K5" s="210"/>
      <c r="L5" s="210"/>
    </row>
    <row r="6" spans="1:13" ht="25.5" customHeight="1" x14ac:dyDescent="0.2">
      <c r="A6" s="619" t="s">
        <v>65</v>
      </c>
      <c r="B6" s="644" t="s">
        <v>65</v>
      </c>
      <c r="C6" s="619" t="s">
        <v>0</v>
      </c>
      <c r="D6" s="621" t="s">
        <v>807</v>
      </c>
      <c r="E6" s="623" t="s">
        <v>808</v>
      </c>
      <c r="F6" s="621" t="s">
        <v>809</v>
      </c>
      <c r="G6" s="618" t="s">
        <v>1</v>
      </c>
      <c r="H6" s="618"/>
      <c r="I6" s="618" t="s">
        <v>43</v>
      </c>
      <c r="J6" s="618"/>
      <c r="K6" s="618" t="s">
        <v>44</v>
      </c>
      <c r="L6" s="618" t="s">
        <v>45</v>
      </c>
    </row>
    <row r="7" spans="1:13" ht="56.45" customHeight="1" x14ac:dyDescent="0.2">
      <c r="A7" s="620"/>
      <c r="B7" s="645"/>
      <c r="C7" s="620"/>
      <c r="D7" s="622"/>
      <c r="E7" s="624"/>
      <c r="F7" s="622"/>
      <c r="G7" s="476" t="s">
        <v>2</v>
      </c>
      <c r="H7" s="215" t="s">
        <v>42</v>
      </c>
      <c r="I7" s="476" t="s">
        <v>3</v>
      </c>
      <c r="J7" s="476" t="s">
        <v>33</v>
      </c>
      <c r="K7" s="618"/>
      <c r="L7" s="618"/>
      <c r="M7" s="60" t="s">
        <v>346</v>
      </c>
    </row>
    <row r="8" spans="1:13" ht="11.45" customHeight="1" x14ac:dyDescent="0.2">
      <c r="A8" s="78">
        <v>1</v>
      </c>
      <c r="B8" s="303">
        <v>1</v>
      </c>
      <c r="C8" s="78">
        <v>2</v>
      </c>
      <c r="D8" s="78">
        <v>3</v>
      </c>
      <c r="E8" s="216"/>
      <c r="F8" s="217"/>
      <c r="G8" s="78">
        <v>4</v>
      </c>
      <c r="H8" s="78">
        <v>5</v>
      </c>
      <c r="I8" s="78">
        <v>6</v>
      </c>
      <c r="J8" s="78">
        <v>7</v>
      </c>
      <c r="K8" s="78">
        <v>8</v>
      </c>
      <c r="L8" s="78">
        <v>9</v>
      </c>
    </row>
    <row r="9" spans="1:13" ht="40.5" customHeight="1" x14ac:dyDescent="0.2">
      <c r="A9" s="218" t="s">
        <v>116</v>
      </c>
      <c r="B9" s="374" t="s">
        <v>116</v>
      </c>
      <c r="C9" s="219" t="s">
        <v>834</v>
      </c>
      <c r="E9" s="220"/>
      <c r="F9" s="471"/>
      <c r="G9" s="467"/>
      <c r="H9" s="467"/>
      <c r="I9" s="196"/>
      <c r="J9" s="196"/>
      <c r="K9" s="471"/>
      <c r="L9" s="221"/>
    </row>
    <row r="10" spans="1:13" ht="96" customHeight="1" x14ac:dyDescent="0.2">
      <c r="A10" s="56" t="s">
        <v>66</v>
      </c>
      <c r="B10" s="455" t="s">
        <v>66</v>
      </c>
      <c r="C10" s="222" t="s">
        <v>1043</v>
      </c>
      <c r="D10" s="612" t="s">
        <v>1040</v>
      </c>
      <c r="E10" s="223" t="s">
        <v>810</v>
      </c>
      <c r="F10" s="470" t="s">
        <v>1042</v>
      </c>
      <c r="G10" s="187" t="s">
        <v>46</v>
      </c>
      <c r="H10" s="187" t="s">
        <v>4</v>
      </c>
      <c r="I10" s="188">
        <f>(20240490)/1000*$I$5</f>
        <v>20240.490000000002</v>
      </c>
      <c r="J10" s="188">
        <f>I10-(53737)/1000*$I$5</f>
        <v>20186.753000000001</v>
      </c>
      <c r="K10" s="472" t="s">
        <v>47</v>
      </c>
      <c r="L10" s="224"/>
    </row>
    <row r="11" spans="1:13" ht="60" x14ac:dyDescent="0.2">
      <c r="A11" s="56" t="s">
        <v>67</v>
      </c>
      <c r="B11" s="455" t="s">
        <v>67</v>
      </c>
      <c r="C11" s="222" t="s">
        <v>242</v>
      </c>
      <c r="D11" s="612"/>
      <c r="E11" s="223" t="s">
        <v>811</v>
      </c>
      <c r="F11" s="470" t="s">
        <v>1044</v>
      </c>
      <c r="G11" s="187" t="s">
        <v>48</v>
      </c>
      <c r="H11" s="187" t="s">
        <v>52</v>
      </c>
      <c r="I11" s="188">
        <f>(3127000/1.18)/1000*$I$5</f>
        <v>2650</v>
      </c>
      <c r="J11" s="188">
        <f>I11-(0)/1000*$I$5</f>
        <v>2650</v>
      </c>
      <c r="K11" s="472" t="s">
        <v>647</v>
      </c>
      <c r="L11" s="224"/>
    </row>
    <row r="12" spans="1:13" ht="48" x14ac:dyDescent="0.2">
      <c r="A12" s="56" t="s">
        <v>68</v>
      </c>
      <c r="B12" s="455" t="s">
        <v>68</v>
      </c>
      <c r="C12" s="222" t="s">
        <v>243</v>
      </c>
      <c r="D12" s="612" t="s">
        <v>1041</v>
      </c>
      <c r="E12" s="223" t="s">
        <v>813</v>
      </c>
      <c r="F12" s="472" t="s">
        <v>1045</v>
      </c>
      <c r="G12" s="187" t="s">
        <v>12</v>
      </c>
      <c r="H12" s="187" t="s">
        <v>49</v>
      </c>
      <c r="I12" s="188">
        <f>(11142291.6/1.18)/1000*$I$5</f>
        <v>9442.6200000000008</v>
      </c>
      <c r="J12" s="188">
        <f>I12-(7388413.6)/1000*$I$5</f>
        <v>2054.2064000000009</v>
      </c>
      <c r="K12" s="472" t="s">
        <v>50</v>
      </c>
      <c r="L12" s="224"/>
    </row>
    <row r="13" spans="1:13" ht="72" x14ac:dyDescent="0.2">
      <c r="A13" s="56" t="s">
        <v>69</v>
      </c>
      <c r="B13" s="455" t="s">
        <v>69</v>
      </c>
      <c r="C13" s="222" t="s">
        <v>817</v>
      </c>
      <c r="D13" s="612"/>
      <c r="E13" s="223" t="s">
        <v>815</v>
      </c>
      <c r="F13" s="470" t="s">
        <v>1046</v>
      </c>
      <c r="G13" s="187" t="s">
        <v>51</v>
      </c>
      <c r="H13" s="187" t="s">
        <v>52</v>
      </c>
      <c r="I13" s="188">
        <f>(3600000)/1000*$I$5</f>
        <v>3600</v>
      </c>
      <c r="J13" s="188">
        <f t="shared" ref="J13:J46" si="0">I13-(0)/1000*$I$5</f>
        <v>3600</v>
      </c>
      <c r="K13" s="472" t="s">
        <v>53</v>
      </c>
      <c r="L13" s="224"/>
    </row>
    <row r="14" spans="1:13" ht="72" x14ac:dyDescent="0.2">
      <c r="A14" s="56" t="s">
        <v>70</v>
      </c>
      <c r="B14" s="455" t="s">
        <v>70</v>
      </c>
      <c r="C14" s="470" t="s">
        <v>816</v>
      </c>
      <c r="D14" s="225"/>
      <c r="E14" s="226" t="s">
        <v>818</v>
      </c>
      <c r="F14" s="472" t="s">
        <v>1047</v>
      </c>
      <c r="G14" s="187" t="s">
        <v>54</v>
      </c>
      <c r="H14" s="187" t="s">
        <v>25</v>
      </c>
      <c r="I14" s="188">
        <f>(2765753)/1000*$I$5</f>
        <v>2765.7530000000002</v>
      </c>
      <c r="J14" s="188">
        <f>I14-(401097)/1000*$I$5</f>
        <v>2364.6559999999999</v>
      </c>
      <c r="K14" s="472" t="s">
        <v>55</v>
      </c>
      <c r="L14" s="224"/>
    </row>
    <row r="15" spans="1:13" ht="60" x14ac:dyDescent="0.2">
      <c r="A15" s="56" t="s">
        <v>71</v>
      </c>
      <c r="B15" s="455" t="s">
        <v>71</v>
      </c>
      <c r="C15" s="470" t="s">
        <v>244</v>
      </c>
      <c r="D15" s="225"/>
      <c r="E15" s="226" t="s">
        <v>820</v>
      </c>
      <c r="F15" s="472" t="s">
        <v>1048</v>
      </c>
      <c r="G15" s="187" t="s">
        <v>56</v>
      </c>
      <c r="H15" s="187" t="s">
        <v>52</v>
      </c>
      <c r="I15" s="188">
        <f>(5000000)/1000*$I$5</f>
        <v>5000</v>
      </c>
      <c r="J15" s="188">
        <f t="shared" si="0"/>
        <v>5000</v>
      </c>
      <c r="K15" s="472" t="s">
        <v>170</v>
      </c>
      <c r="L15" s="224"/>
    </row>
    <row r="16" spans="1:13" ht="84" x14ac:dyDescent="0.2">
      <c r="A16" s="56" t="s">
        <v>72</v>
      </c>
      <c r="B16" s="455" t="s">
        <v>72</v>
      </c>
      <c r="C16" s="470" t="s">
        <v>821</v>
      </c>
      <c r="D16" s="612" t="s">
        <v>1050</v>
      </c>
      <c r="E16" s="226" t="s">
        <v>822</v>
      </c>
      <c r="F16" s="472" t="s">
        <v>1049</v>
      </c>
      <c r="G16" s="187" t="s">
        <v>4</v>
      </c>
      <c r="H16" s="187" t="s">
        <v>7</v>
      </c>
      <c r="I16" s="188">
        <f>(5947000)/1000*$I$5</f>
        <v>5947</v>
      </c>
      <c r="J16" s="188">
        <f>I16-(322033.9)/1000*$I$5</f>
        <v>5624.9660999999996</v>
      </c>
      <c r="K16" s="472" t="s">
        <v>57</v>
      </c>
      <c r="L16" s="224"/>
    </row>
    <row r="17" spans="1:12" ht="67.5" customHeight="1" x14ac:dyDescent="0.2">
      <c r="A17" s="56" t="s">
        <v>73</v>
      </c>
      <c r="B17" s="455" t="s">
        <v>73</v>
      </c>
      <c r="C17" s="470" t="s">
        <v>823</v>
      </c>
      <c r="D17" s="612"/>
      <c r="E17" s="226" t="s">
        <v>824</v>
      </c>
      <c r="F17" s="472" t="s">
        <v>823</v>
      </c>
      <c r="G17" s="187" t="s">
        <v>58</v>
      </c>
      <c r="H17" s="187" t="s">
        <v>58</v>
      </c>
      <c r="I17" s="188">
        <f>(720000)/1000*$I$5</f>
        <v>720</v>
      </c>
      <c r="J17" s="188">
        <f>I17-(128844)/1000*$I$5</f>
        <v>591.15599999999995</v>
      </c>
      <c r="K17" s="472" t="s">
        <v>59</v>
      </c>
      <c r="L17" s="224"/>
    </row>
    <row r="18" spans="1:12" ht="36" x14ac:dyDescent="0.2">
      <c r="A18" s="56" t="s">
        <v>74</v>
      </c>
      <c r="B18" s="455" t="s">
        <v>74</v>
      </c>
      <c r="C18" s="470" t="s">
        <v>825</v>
      </c>
      <c r="D18" s="612"/>
      <c r="E18" s="226" t="s">
        <v>832</v>
      </c>
      <c r="F18" s="472" t="s">
        <v>825</v>
      </c>
      <c r="G18" s="187" t="s">
        <v>60</v>
      </c>
      <c r="H18" s="187" t="s">
        <v>60</v>
      </c>
      <c r="I18" s="188">
        <f>(700000)/1000*$I$5</f>
        <v>700</v>
      </c>
      <c r="J18" s="188">
        <f t="shared" si="0"/>
        <v>700</v>
      </c>
      <c r="K18" s="472" t="s">
        <v>59</v>
      </c>
      <c r="L18" s="224"/>
    </row>
    <row r="19" spans="1:12" ht="36" x14ac:dyDescent="0.2">
      <c r="A19" s="56" t="s">
        <v>75</v>
      </c>
      <c r="B19" s="455" t="s">
        <v>75</v>
      </c>
      <c r="C19" s="470" t="s">
        <v>826</v>
      </c>
      <c r="D19" s="225"/>
      <c r="E19" s="226" t="s">
        <v>828</v>
      </c>
      <c r="F19" s="472" t="s">
        <v>59</v>
      </c>
      <c r="G19" s="187" t="s">
        <v>61</v>
      </c>
      <c r="H19" s="187" t="s">
        <v>61</v>
      </c>
      <c r="I19" s="188">
        <f>(720000)/1000*$I$5</f>
        <v>720</v>
      </c>
      <c r="J19" s="188">
        <f t="shared" si="0"/>
        <v>720</v>
      </c>
      <c r="K19" s="472" t="s">
        <v>59</v>
      </c>
      <c r="L19" s="224"/>
    </row>
    <row r="20" spans="1:12" ht="84" customHeight="1" x14ac:dyDescent="0.2">
      <c r="A20" s="56" t="s">
        <v>76</v>
      </c>
      <c r="B20" s="455" t="s">
        <v>76</v>
      </c>
      <c r="C20" s="470" t="s">
        <v>827</v>
      </c>
      <c r="D20" s="612" t="s">
        <v>1535</v>
      </c>
      <c r="E20" s="226" t="s">
        <v>829</v>
      </c>
      <c r="F20" s="472" t="s">
        <v>827</v>
      </c>
      <c r="G20" s="187" t="s">
        <v>62</v>
      </c>
      <c r="H20" s="187" t="s">
        <v>62</v>
      </c>
      <c r="I20" s="188">
        <f>(730000)/1000*$I$5</f>
        <v>730</v>
      </c>
      <c r="J20" s="188">
        <f t="shared" si="0"/>
        <v>730</v>
      </c>
      <c r="K20" s="472" t="s">
        <v>59</v>
      </c>
      <c r="L20" s="224"/>
    </row>
    <row r="21" spans="1:12" ht="46.5" customHeight="1" x14ac:dyDescent="0.2">
      <c r="A21" s="56" t="s">
        <v>77</v>
      </c>
      <c r="B21" s="455" t="s">
        <v>77</v>
      </c>
      <c r="C21" s="470" t="s">
        <v>245</v>
      </c>
      <c r="D21" s="612"/>
      <c r="E21" s="226" t="s">
        <v>831</v>
      </c>
      <c r="F21" s="470" t="s">
        <v>245</v>
      </c>
      <c r="G21" s="187" t="s">
        <v>16</v>
      </c>
      <c r="H21" s="187" t="s">
        <v>63</v>
      </c>
      <c r="I21" s="188">
        <f>(170917+20177971)/1000*$I$5</f>
        <v>20348.887999999999</v>
      </c>
      <c r="J21" s="188">
        <f>I21-(2286003+6277093)/1000*$I$5</f>
        <v>11785.791999999999</v>
      </c>
      <c r="K21" s="472" t="s">
        <v>64</v>
      </c>
      <c r="L21" s="224"/>
    </row>
    <row r="22" spans="1:12" s="281" customFormat="1" ht="52.5" customHeight="1" x14ac:dyDescent="0.2">
      <c r="A22" s="455"/>
      <c r="B22" s="455" t="s">
        <v>80</v>
      </c>
      <c r="C22" s="483" t="s">
        <v>1477</v>
      </c>
      <c r="D22" s="479"/>
      <c r="E22" s="488" t="s">
        <v>1478</v>
      </c>
      <c r="F22" s="483" t="s">
        <v>1476</v>
      </c>
      <c r="G22" s="455" t="s">
        <v>1479</v>
      </c>
      <c r="H22" s="455" t="s">
        <v>1480</v>
      </c>
      <c r="I22" s="279">
        <f>(750000)/1000*$I$5</f>
        <v>750</v>
      </c>
      <c r="J22" s="279">
        <f>I22-(0)/1000*$I$5</f>
        <v>750</v>
      </c>
      <c r="K22" s="472" t="s">
        <v>59</v>
      </c>
      <c r="L22" s="280"/>
    </row>
    <row r="23" spans="1:12" s="281" customFormat="1" ht="69.75" customHeight="1" x14ac:dyDescent="0.2">
      <c r="A23" s="455"/>
      <c r="B23" s="455" t="s">
        <v>82</v>
      </c>
      <c r="C23" s="483" t="s">
        <v>1481</v>
      </c>
      <c r="D23" s="479"/>
      <c r="E23" s="488" t="s">
        <v>1483</v>
      </c>
      <c r="F23" s="483" t="s">
        <v>1481</v>
      </c>
      <c r="G23" s="455" t="s">
        <v>1484</v>
      </c>
      <c r="H23" s="455" t="s">
        <v>1482</v>
      </c>
      <c r="I23" s="279">
        <f>(15876906)/1000*$I$5</f>
        <v>15876.906000000001</v>
      </c>
      <c r="J23" s="279">
        <f>I23-(1089110+457627+67533+605566+45149)/1000*$I$5</f>
        <v>13611.921</v>
      </c>
      <c r="K23" s="479" t="s">
        <v>1702</v>
      </c>
      <c r="L23" s="280"/>
    </row>
    <row r="24" spans="1:12" s="281" customFormat="1" ht="42.75" customHeight="1" x14ac:dyDescent="0.2">
      <c r="A24" s="455"/>
      <c r="B24" s="455" t="s">
        <v>87</v>
      </c>
      <c r="C24" s="483" t="s">
        <v>1485</v>
      </c>
      <c r="D24" s="479"/>
      <c r="E24" s="488" t="s">
        <v>1486</v>
      </c>
      <c r="F24" s="483" t="s">
        <v>1485</v>
      </c>
      <c r="G24" s="455" t="s">
        <v>1488</v>
      </c>
      <c r="H24" s="455" t="s">
        <v>1487</v>
      </c>
      <c r="I24" s="279">
        <f>(800000)/1000*$I$5</f>
        <v>800</v>
      </c>
      <c r="J24" s="279">
        <f>I24-(10)/1000*$I$5</f>
        <v>799.99</v>
      </c>
      <c r="K24" s="472" t="s">
        <v>59</v>
      </c>
      <c r="L24" s="280"/>
    </row>
    <row r="25" spans="1:12" ht="140.25" customHeight="1" x14ac:dyDescent="0.2">
      <c r="A25" s="56" t="s">
        <v>80</v>
      </c>
      <c r="B25" s="455" t="s">
        <v>88</v>
      </c>
      <c r="C25" s="470" t="s">
        <v>853</v>
      </c>
      <c r="D25" s="465" t="s">
        <v>1062</v>
      </c>
      <c r="E25" s="176" t="s">
        <v>854</v>
      </c>
      <c r="F25" s="465" t="s">
        <v>1051</v>
      </c>
      <c r="G25" s="187" t="s">
        <v>78</v>
      </c>
      <c r="H25" s="187" t="s">
        <v>7</v>
      </c>
      <c r="I25" s="188">
        <f>(3293513)/1000*$I$5</f>
        <v>3293.5129999999999</v>
      </c>
      <c r="J25" s="188">
        <f t="shared" si="0"/>
        <v>3293.5129999999999</v>
      </c>
      <c r="K25" s="472" t="s">
        <v>79</v>
      </c>
      <c r="L25" s="224"/>
    </row>
    <row r="26" spans="1:12" ht="111.75" customHeight="1" x14ac:dyDescent="0.2">
      <c r="A26" s="56" t="s">
        <v>82</v>
      </c>
      <c r="B26" s="455" t="s">
        <v>89</v>
      </c>
      <c r="C26" s="470" t="s">
        <v>247</v>
      </c>
      <c r="D26" s="583" t="s">
        <v>1136</v>
      </c>
      <c r="E26" s="176" t="s">
        <v>855</v>
      </c>
      <c r="F26" s="472" t="s">
        <v>1052</v>
      </c>
      <c r="G26" s="187" t="s">
        <v>84</v>
      </c>
      <c r="H26" s="187" t="s">
        <v>7</v>
      </c>
      <c r="I26" s="188">
        <f>(15724959.7)/1000*$I$5</f>
        <v>15724.959699999999</v>
      </c>
      <c r="J26" s="188">
        <f t="shared" si="0"/>
        <v>15724.959699999999</v>
      </c>
      <c r="K26" s="472" t="s">
        <v>85</v>
      </c>
      <c r="L26" s="224"/>
    </row>
    <row r="27" spans="1:12" ht="132" x14ac:dyDescent="0.2">
      <c r="A27" s="56" t="s">
        <v>87</v>
      </c>
      <c r="B27" s="455" t="s">
        <v>90</v>
      </c>
      <c r="C27" s="470" t="s">
        <v>247</v>
      </c>
      <c r="D27" s="583"/>
      <c r="E27" s="176" t="s">
        <v>856</v>
      </c>
      <c r="F27" s="472" t="s">
        <v>1053</v>
      </c>
      <c r="G27" s="187" t="s">
        <v>86</v>
      </c>
      <c r="H27" s="187" t="s">
        <v>22</v>
      </c>
      <c r="I27" s="188">
        <f>(13589383)/1000*$I$5</f>
        <v>13589.383</v>
      </c>
      <c r="J27" s="188">
        <f t="shared" si="0"/>
        <v>13589.383</v>
      </c>
      <c r="K27" s="472" t="s">
        <v>109</v>
      </c>
      <c r="L27" s="224"/>
    </row>
    <row r="28" spans="1:12" ht="120" x14ac:dyDescent="0.2">
      <c r="A28" s="56" t="s">
        <v>88</v>
      </c>
      <c r="B28" s="455" t="s">
        <v>96</v>
      </c>
      <c r="C28" s="470" t="s">
        <v>1489</v>
      </c>
      <c r="D28" s="583"/>
      <c r="E28" s="176" t="s">
        <v>857</v>
      </c>
      <c r="F28" s="472" t="s">
        <v>1054</v>
      </c>
      <c r="G28" s="187" t="s">
        <v>91</v>
      </c>
      <c r="H28" s="189" t="s">
        <v>873</v>
      </c>
      <c r="I28" s="188">
        <f>(9015373)/1000*$I$5</f>
        <v>9015.3729999999996</v>
      </c>
      <c r="J28" s="188">
        <f t="shared" si="0"/>
        <v>9015.3729999999996</v>
      </c>
      <c r="K28" s="472" t="s">
        <v>110</v>
      </c>
      <c r="L28" s="224"/>
    </row>
    <row r="29" spans="1:12" ht="96" x14ac:dyDescent="0.2">
      <c r="A29" s="56" t="s">
        <v>89</v>
      </c>
      <c r="B29" s="455" t="s">
        <v>97</v>
      </c>
      <c r="C29" s="470" t="s">
        <v>247</v>
      </c>
      <c r="D29" s="583"/>
      <c r="E29" s="176" t="s">
        <v>859</v>
      </c>
      <c r="F29" s="472" t="s">
        <v>1055</v>
      </c>
      <c r="G29" s="187" t="s">
        <v>93</v>
      </c>
      <c r="H29" s="189" t="s">
        <v>872</v>
      </c>
      <c r="I29" s="188">
        <f>(21058242)/1000*$I$5</f>
        <v>21058.241999999998</v>
      </c>
      <c r="J29" s="188">
        <f t="shared" si="0"/>
        <v>21058.241999999998</v>
      </c>
      <c r="K29" s="472" t="s">
        <v>108</v>
      </c>
      <c r="L29" s="224"/>
    </row>
    <row r="30" spans="1:12" ht="96" x14ac:dyDescent="0.2">
      <c r="A30" s="56" t="s">
        <v>90</v>
      </c>
      <c r="B30" s="455" t="s">
        <v>98</v>
      </c>
      <c r="C30" s="470" t="s">
        <v>247</v>
      </c>
      <c r="D30" s="583"/>
      <c r="E30" s="176" t="s">
        <v>864</v>
      </c>
      <c r="F30" s="472" t="s">
        <v>1056</v>
      </c>
      <c r="G30" s="187" t="s">
        <v>60</v>
      </c>
      <c r="H30" s="187" t="s">
        <v>95</v>
      </c>
      <c r="I30" s="188">
        <f>(2279276)/1000*$I$5</f>
        <v>2279.2759999999998</v>
      </c>
      <c r="J30" s="188">
        <f t="shared" si="0"/>
        <v>2279.2759999999998</v>
      </c>
      <c r="K30" s="472" t="s">
        <v>111</v>
      </c>
      <c r="L30" s="224"/>
    </row>
    <row r="31" spans="1:12" ht="96" x14ac:dyDescent="0.2">
      <c r="A31" s="56" t="s">
        <v>96</v>
      </c>
      <c r="B31" s="455" t="s">
        <v>99</v>
      </c>
      <c r="C31" s="470" t="s">
        <v>247</v>
      </c>
      <c r="D31" s="583"/>
      <c r="E31" s="176" t="s">
        <v>863</v>
      </c>
      <c r="F31" s="472" t="s">
        <v>1057</v>
      </c>
      <c r="G31" s="187" t="s">
        <v>95</v>
      </c>
      <c r="H31" s="187" t="s">
        <v>9</v>
      </c>
      <c r="I31" s="188">
        <f>(1136955)/1000*$I$5</f>
        <v>1136.9549999999999</v>
      </c>
      <c r="J31" s="188">
        <f t="shared" si="0"/>
        <v>1136.9549999999999</v>
      </c>
      <c r="K31" s="472" t="s">
        <v>112</v>
      </c>
      <c r="L31" s="224"/>
    </row>
    <row r="32" spans="1:12" ht="86.25" customHeight="1" x14ac:dyDescent="0.2">
      <c r="A32" s="56" t="s">
        <v>97</v>
      </c>
      <c r="B32" s="455" t="s">
        <v>100</v>
      </c>
      <c r="C32" s="470" t="s">
        <v>247</v>
      </c>
      <c r="D32" s="583"/>
      <c r="E32" s="176" t="s">
        <v>866</v>
      </c>
      <c r="F32" s="472" t="s">
        <v>1058</v>
      </c>
      <c r="G32" s="187" t="s">
        <v>101</v>
      </c>
      <c r="H32" s="189" t="s">
        <v>638</v>
      </c>
      <c r="I32" s="188">
        <f>(8510364)/1000*$I$5</f>
        <v>8510.3639999999996</v>
      </c>
      <c r="J32" s="188">
        <f t="shared" si="0"/>
        <v>8510.3639999999996</v>
      </c>
      <c r="K32" s="472" t="s">
        <v>113</v>
      </c>
      <c r="L32" s="224"/>
    </row>
    <row r="33" spans="1:12" ht="47.25" customHeight="1" x14ac:dyDescent="0.2">
      <c r="A33" s="56" t="s">
        <v>98</v>
      </c>
      <c r="B33" s="455" t="s">
        <v>149</v>
      </c>
      <c r="C33" s="470" t="s">
        <v>247</v>
      </c>
      <c r="D33" s="583"/>
      <c r="E33" s="176" t="s">
        <v>868</v>
      </c>
      <c r="F33" s="472" t="s">
        <v>869</v>
      </c>
      <c r="G33" s="187" t="s">
        <v>103</v>
      </c>
      <c r="H33" s="187" t="s">
        <v>104</v>
      </c>
      <c r="I33" s="188">
        <f>(2290335)/1000*$I$5</f>
        <v>2290.335</v>
      </c>
      <c r="J33" s="188">
        <f t="shared" si="0"/>
        <v>2290.335</v>
      </c>
      <c r="K33" s="472" t="s">
        <v>105</v>
      </c>
      <c r="L33" s="224"/>
    </row>
    <row r="34" spans="1:12" ht="126.75" customHeight="1" x14ac:dyDescent="0.2">
      <c r="A34" s="56" t="s">
        <v>99</v>
      </c>
      <c r="B34" s="455" t="s">
        <v>2557</v>
      </c>
      <c r="C34" s="470" t="s">
        <v>247</v>
      </c>
      <c r="D34" s="583" t="s">
        <v>1536</v>
      </c>
      <c r="E34" s="176" t="s">
        <v>871</v>
      </c>
      <c r="F34" s="472" t="s">
        <v>1492</v>
      </c>
      <c r="G34" s="187" t="s">
        <v>104</v>
      </c>
      <c r="H34" s="189" t="s">
        <v>874</v>
      </c>
      <c r="I34" s="188">
        <f>(7629477)/1000*$I$5</f>
        <v>7629.4769999999999</v>
      </c>
      <c r="J34" s="188">
        <f t="shared" si="0"/>
        <v>7629.4769999999999</v>
      </c>
      <c r="K34" s="472" t="s">
        <v>114</v>
      </c>
      <c r="L34" s="224"/>
    </row>
    <row r="35" spans="1:12" ht="99.75" customHeight="1" x14ac:dyDescent="0.2">
      <c r="A35" s="56" t="s">
        <v>100</v>
      </c>
      <c r="B35" s="455" t="s">
        <v>2558</v>
      </c>
      <c r="C35" s="470" t="s">
        <v>247</v>
      </c>
      <c r="D35" s="583"/>
      <c r="E35" s="176" t="s">
        <v>877</v>
      </c>
      <c r="F35" s="472" t="s">
        <v>1493</v>
      </c>
      <c r="G35" s="187" t="s">
        <v>16</v>
      </c>
      <c r="H35" s="187" t="s">
        <v>107</v>
      </c>
      <c r="I35" s="188">
        <f>(1831211)/1000*$I$5</f>
        <v>1831.211</v>
      </c>
      <c r="J35" s="188">
        <f t="shared" si="0"/>
        <v>1831.211</v>
      </c>
      <c r="K35" s="472" t="s">
        <v>875</v>
      </c>
      <c r="L35" s="224"/>
    </row>
    <row r="36" spans="1:12" s="281" customFormat="1" ht="117.75" customHeight="1" x14ac:dyDescent="0.2">
      <c r="A36" s="455"/>
      <c r="B36" s="455" t="s">
        <v>2559</v>
      </c>
      <c r="C36" s="282" t="s">
        <v>247</v>
      </c>
      <c r="D36" s="479"/>
      <c r="E36" s="488" t="s">
        <v>1490</v>
      </c>
      <c r="F36" s="479" t="s">
        <v>1494</v>
      </c>
      <c r="G36" s="455" t="s">
        <v>1517</v>
      </c>
      <c r="H36" s="455" t="s">
        <v>1491</v>
      </c>
      <c r="I36" s="279">
        <f>(5133126)/1000*$I$5</f>
        <v>5133.1260000000002</v>
      </c>
      <c r="J36" s="279">
        <f t="shared" si="0"/>
        <v>5133.1260000000002</v>
      </c>
      <c r="K36" s="472" t="s">
        <v>1495</v>
      </c>
      <c r="L36" s="280"/>
    </row>
    <row r="37" spans="1:12" s="281" customFormat="1" ht="105" customHeight="1" x14ac:dyDescent="0.2">
      <c r="A37" s="455"/>
      <c r="B37" s="455" t="s">
        <v>2560</v>
      </c>
      <c r="C37" s="282" t="s">
        <v>247</v>
      </c>
      <c r="D37" s="479"/>
      <c r="E37" s="488" t="s">
        <v>1496</v>
      </c>
      <c r="F37" s="479" t="s">
        <v>1497</v>
      </c>
      <c r="G37" s="455" t="s">
        <v>1518</v>
      </c>
      <c r="H37" s="455" t="s">
        <v>1491</v>
      </c>
      <c r="I37" s="279">
        <f>(1938340)/1000*$I$5</f>
        <v>1938.34</v>
      </c>
      <c r="J37" s="279">
        <f t="shared" si="0"/>
        <v>1938.34</v>
      </c>
      <c r="K37" s="479" t="s">
        <v>1498</v>
      </c>
      <c r="L37" s="280"/>
    </row>
    <row r="38" spans="1:12" s="281" customFormat="1" ht="104.25" customHeight="1" x14ac:dyDescent="0.2">
      <c r="A38" s="455"/>
      <c r="B38" s="455" t="s">
        <v>2561</v>
      </c>
      <c r="C38" s="282" t="s">
        <v>247</v>
      </c>
      <c r="D38" s="479"/>
      <c r="E38" s="488" t="s">
        <v>1499</v>
      </c>
      <c r="F38" s="479" t="s">
        <v>1502</v>
      </c>
      <c r="G38" s="488" t="s">
        <v>1500</v>
      </c>
      <c r="H38" s="455" t="s">
        <v>1501</v>
      </c>
      <c r="I38" s="279">
        <f>(2539767.51)/1000*$I$5</f>
        <v>2539.7675099999997</v>
      </c>
      <c r="J38" s="279">
        <f t="shared" si="0"/>
        <v>2539.7675099999997</v>
      </c>
      <c r="K38" s="479" t="s">
        <v>1503</v>
      </c>
      <c r="L38" s="280"/>
    </row>
    <row r="39" spans="1:12" ht="161.25" customHeight="1" x14ac:dyDescent="0.2">
      <c r="A39" s="75" t="s">
        <v>149</v>
      </c>
      <c r="B39" s="455" t="s">
        <v>2562</v>
      </c>
      <c r="C39" s="470" t="s">
        <v>146</v>
      </c>
      <c r="D39" s="466" t="s">
        <v>1063</v>
      </c>
      <c r="E39" s="181" t="s">
        <v>2566</v>
      </c>
      <c r="F39" s="466" t="s">
        <v>1061</v>
      </c>
      <c r="G39" s="468" t="s">
        <v>124</v>
      </c>
      <c r="H39" s="468" t="s">
        <v>56</v>
      </c>
      <c r="I39" s="193">
        <f>(407667.34/1.18)/1000*$I$5</f>
        <v>345.48079661016953</v>
      </c>
      <c r="J39" s="193">
        <f>I39</f>
        <v>345.48079661016953</v>
      </c>
      <c r="K39" s="473" t="s">
        <v>125</v>
      </c>
      <c r="L39" s="228"/>
    </row>
    <row r="40" spans="1:12" s="330" customFormat="1" ht="144.75" customHeight="1" x14ac:dyDescent="0.2">
      <c r="A40" s="455"/>
      <c r="B40" s="455" t="s">
        <v>2563</v>
      </c>
      <c r="C40" s="282" t="s">
        <v>2133</v>
      </c>
      <c r="D40" s="479" t="s">
        <v>2129</v>
      </c>
      <c r="E40" s="488" t="s">
        <v>2130</v>
      </c>
      <c r="F40" s="479" t="s">
        <v>2131</v>
      </c>
      <c r="G40" s="455" t="s">
        <v>21</v>
      </c>
      <c r="H40" s="455" t="s">
        <v>1559</v>
      </c>
      <c r="I40" s="314">
        <f>(4100000)/1000*$I$5</f>
        <v>4100</v>
      </c>
      <c r="J40" s="314">
        <f>I40</f>
        <v>4100</v>
      </c>
      <c r="K40" s="479" t="s">
        <v>2132</v>
      </c>
      <c r="L40" s="329"/>
    </row>
    <row r="41" spans="1:12" s="330" customFormat="1" ht="49.5" customHeight="1" x14ac:dyDescent="0.2">
      <c r="A41" s="455"/>
      <c r="B41" s="455" t="s">
        <v>2564</v>
      </c>
      <c r="C41" s="282" t="s">
        <v>2136</v>
      </c>
      <c r="D41" s="479"/>
      <c r="E41" s="488" t="s">
        <v>2134</v>
      </c>
      <c r="F41" s="479" t="s">
        <v>2135</v>
      </c>
      <c r="G41" s="455" t="s">
        <v>19</v>
      </c>
      <c r="H41" s="455" t="s">
        <v>638</v>
      </c>
      <c r="I41" s="279">
        <f>(2238628)/1000*$I$5</f>
        <v>2238.6280000000002</v>
      </c>
      <c r="J41" s="279">
        <f>I41</f>
        <v>2238.6280000000002</v>
      </c>
      <c r="K41" s="479" t="s">
        <v>2048</v>
      </c>
      <c r="L41" s="329"/>
    </row>
    <row r="42" spans="1:12" s="330" customFormat="1" ht="64.5" customHeight="1" x14ac:dyDescent="0.2">
      <c r="A42" s="455"/>
      <c r="B42" s="455" t="s">
        <v>2565</v>
      </c>
      <c r="C42" s="282" t="s">
        <v>2138</v>
      </c>
      <c r="D42" s="479"/>
      <c r="E42" s="488" t="s">
        <v>2139</v>
      </c>
      <c r="F42" s="479" t="s">
        <v>2137</v>
      </c>
      <c r="G42" s="455" t="s">
        <v>1721</v>
      </c>
      <c r="H42" s="455" t="s">
        <v>1677</v>
      </c>
      <c r="I42" s="279">
        <f>(807215)/1000*$I$5</f>
        <v>807.21500000000003</v>
      </c>
      <c r="J42" s="279">
        <f>I42</f>
        <v>807.21500000000003</v>
      </c>
      <c r="K42" s="479" t="s">
        <v>2048</v>
      </c>
      <c r="L42" s="329"/>
    </row>
    <row r="43" spans="1:12" ht="50.25" customHeight="1" x14ac:dyDescent="0.2">
      <c r="A43" s="229" t="s">
        <v>148</v>
      </c>
      <c r="B43" s="375" t="s">
        <v>148</v>
      </c>
      <c r="C43" s="219" t="s">
        <v>249</v>
      </c>
      <c r="D43" s="230" t="s">
        <v>1017</v>
      </c>
      <c r="E43" s="182"/>
      <c r="F43" s="464"/>
      <c r="G43" s="467"/>
      <c r="H43" s="467"/>
      <c r="I43" s="196">
        <f>(0)/1000*$I$5</f>
        <v>0</v>
      </c>
      <c r="J43" s="196">
        <f t="shared" si="0"/>
        <v>0</v>
      </c>
      <c r="K43" s="471"/>
      <c r="L43" s="231"/>
    </row>
    <row r="44" spans="1:12" ht="42.75" customHeight="1" x14ac:dyDescent="0.2">
      <c r="A44" s="56" t="s">
        <v>122</v>
      </c>
      <c r="B44" s="455" t="s">
        <v>122</v>
      </c>
      <c r="C44" s="470" t="s">
        <v>248</v>
      </c>
      <c r="D44" s="617" t="s">
        <v>1067</v>
      </c>
      <c r="E44" s="176" t="s">
        <v>880</v>
      </c>
      <c r="F44" s="465" t="s">
        <v>248</v>
      </c>
      <c r="G44" s="187" t="s">
        <v>119</v>
      </c>
      <c r="H44" s="187" t="s">
        <v>119</v>
      </c>
      <c r="I44" s="188">
        <f>(448400/1.18)/1000*$I$5</f>
        <v>380</v>
      </c>
      <c r="J44" s="188">
        <f t="shared" si="0"/>
        <v>380</v>
      </c>
      <c r="K44" s="472" t="s">
        <v>120</v>
      </c>
      <c r="L44" s="59"/>
    </row>
    <row r="45" spans="1:12" ht="82.5" customHeight="1" x14ac:dyDescent="0.2">
      <c r="A45" s="56" t="s">
        <v>123</v>
      </c>
      <c r="B45" s="455" t="s">
        <v>123</v>
      </c>
      <c r="C45" s="470" t="s">
        <v>881</v>
      </c>
      <c r="D45" s="617"/>
      <c r="E45" s="176" t="s">
        <v>882</v>
      </c>
      <c r="F45" s="472" t="s">
        <v>1065</v>
      </c>
      <c r="G45" s="187" t="s">
        <v>13</v>
      </c>
      <c r="H45" s="187" t="s">
        <v>8</v>
      </c>
      <c r="I45" s="188">
        <f>(2300000)/1000*$I$5</f>
        <v>2300</v>
      </c>
      <c r="J45" s="188">
        <f t="shared" si="0"/>
        <v>2300</v>
      </c>
      <c r="K45" s="472" t="s">
        <v>171</v>
      </c>
      <c r="L45" s="59"/>
    </row>
    <row r="46" spans="1:12" ht="120" x14ac:dyDescent="0.2">
      <c r="A46" s="56" t="s">
        <v>150</v>
      </c>
      <c r="B46" s="455" t="s">
        <v>150</v>
      </c>
      <c r="C46" s="470" t="s">
        <v>251</v>
      </c>
      <c r="D46" s="617"/>
      <c r="E46" s="176" t="s">
        <v>883</v>
      </c>
      <c r="F46" s="472" t="s">
        <v>1066</v>
      </c>
      <c r="G46" s="187" t="s">
        <v>126</v>
      </c>
      <c r="H46" s="187" t="s">
        <v>127</v>
      </c>
      <c r="I46" s="188">
        <f>(650000)/1000*$I$5</f>
        <v>650</v>
      </c>
      <c r="J46" s="188">
        <f t="shared" si="0"/>
        <v>650</v>
      </c>
      <c r="K46" s="472" t="s">
        <v>121</v>
      </c>
      <c r="L46" s="59"/>
    </row>
    <row r="47" spans="1:12" ht="69" customHeight="1" x14ac:dyDescent="0.2">
      <c r="A47" s="56" t="s">
        <v>151</v>
      </c>
      <c r="B47" s="455" t="s">
        <v>151</v>
      </c>
      <c r="C47" s="470" t="s">
        <v>1069</v>
      </c>
      <c r="D47" s="617" t="s">
        <v>1070</v>
      </c>
      <c r="E47" s="176" t="s">
        <v>885</v>
      </c>
      <c r="F47" s="472" t="s">
        <v>1069</v>
      </c>
      <c r="G47" s="187" t="s">
        <v>51</v>
      </c>
      <c r="H47" s="187" t="s">
        <v>56</v>
      </c>
      <c r="I47" s="188">
        <f>(2300000)/1000*$I$5</f>
        <v>2300</v>
      </c>
      <c r="J47" s="188">
        <f>I47-(61506)/1000*$I$5</f>
        <v>2238.4940000000001</v>
      </c>
      <c r="K47" s="472" t="s">
        <v>121</v>
      </c>
      <c r="L47" s="59"/>
    </row>
    <row r="48" spans="1:12" ht="69" customHeight="1" x14ac:dyDescent="0.2">
      <c r="A48" s="56" t="s">
        <v>152</v>
      </c>
      <c r="B48" s="455" t="s">
        <v>152</v>
      </c>
      <c r="C48" s="470" t="s">
        <v>253</v>
      </c>
      <c r="D48" s="617"/>
      <c r="E48" s="176" t="s">
        <v>886</v>
      </c>
      <c r="F48" s="470" t="s">
        <v>253</v>
      </c>
      <c r="G48" s="187" t="s">
        <v>51</v>
      </c>
      <c r="H48" s="187" t="s">
        <v>124</v>
      </c>
      <c r="I48" s="188">
        <f>(2300000)/1000*$I$5</f>
        <v>2300</v>
      </c>
      <c r="J48" s="188">
        <f>I48-(0)/1000*$I$5</f>
        <v>2300</v>
      </c>
      <c r="K48" s="472" t="s">
        <v>172</v>
      </c>
      <c r="L48" s="59"/>
    </row>
    <row r="49" spans="1:12" ht="60" x14ac:dyDescent="0.2">
      <c r="A49" s="56" t="s">
        <v>153</v>
      </c>
      <c r="B49" s="455" t="s">
        <v>153</v>
      </c>
      <c r="C49" s="470" t="s">
        <v>890</v>
      </c>
      <c r="D49" s="617"/>
      <c r="E49" s="176" t="s">
        <v>1068</v>
      </c>
      <c r="F49" s="470" t="s">
        <v>890</v>
      </c>
      <c r="G49" s="187" t="s">
        <v>124</v>
      </c>
      <c r="H49" s="187" t="s">
        <v>129</v>
      </c>
      <c r="I49" s="188">
        <f>(1416000/1.18)/1000*$I$5</f>
        <v>1200</v>
      </c>
      <c r="J49" s="188">
        <f>I49-(0)/1000*$I$5</f>
        <v>1200</v>
      </c>
      <c r="K49" s="472" t="s">
        <v>128</v>
      </c>
      <c r="L49" s="59"/>
    </row>
    <row r="50" spans="1:12" ht="96" x14ac:dyDescent="0.2">
      <c r="A50" s="56" t="s">
        <v>154</v>
      </c>
      <c r="B50" s="455" t="s">
        <v>154</v>
      </c>
      <c r="C50" s="470" t="s">
        <v>254</v>
      </c>
      <c r="D50" s="232"/>
      <c r="E50" s="176" t="s">
        <v>888</v>
      </c>
      <c r="F50" s="472" t="s">
        <v>1137</v>
      </c>
      <c r="G50" s="187" t="s">
        <v>49</v>
      </c>
      <c r="H50" s="187" t="s">
        <v>25</v>
      </c>
      <c r="I50" s="188">
        <f>(4600000)/1000*$I$5</f>
        <v>4600</v>
      </c>
      <c r="J50" s="188">
        <f>I50-(32790)/1000*$I$5</f>
        <v>4567.21</v>
      </c>
      <c r="K50" s="472" t="s">
        <v>130</v>
      </c>
      <c r="L50" s="59"/>
    </row>
    <row r="51" spans="1:12" ht="96" x14ac:dyDescent="0.2">
      <c r="A51" s="56" t="s">
        <v>155</v>
      </c>
      <c r="B51" s="455" t="s">
        <v>155</v>
      </c>
      <c r="C51" s="470" t="s">
        <v>255</v>
      </c>
      <c r="D51" s="232"/>
      <c r="E51" s="176" t="s">
        <v>889</v>
      </c>
      <c r="F51" s="472" t="s">
        <v>1071</v>
      </c>
      <c r="G51" s="187" t="s">
        <v>56</v>
      </c>
      <c r="H51" s="187" t="s">
        <v>7</v>
      </c>
      <c r="I51" s="188">
        <f>(1896068)/1000*$I$5</f>
        <v>1896.068</v>
      </c>
      <c r="J51" s="188">
        <f>I51-(510000)/1000*$I$5</f>
        <v>1386.068</v>
      </c>
      <c r="K51" s="472" t="s">
        <v>131</v>
      </c>
      <c r="L51" s="59"/>
    </row>
    <row r="52" spans="1:12" ht="66" customHeight="1" x14ac:dyDescent="0.2">
      <c r="A52" s="56" t="s">
        <v>156</v>
      </c>
      <c r="B52" s="455" t="s">
        <v>156</v>
      </c>
      <c r="C52" s="470" t="s">
        <v>892</v>
      </c>
      <c r="D52" s="232"/>
      <c r="E52" s="176" t="s">
        <v>894</v>
      </c>
      <c r="F52" s="470" t="s">
        <v>892</v>
      </c>
      <c r="G52" s="187" t="s">
        <v>132</v>
      </c>
      <c r="H52" s="187" t="s">
        <v>14</v>
      </c>
      <c r="I52" s="188">
        <f>(1420000)/1000*$I$5</f>
        <v>1420</v>
      </c>
      <c r="J52" s="188">
        <f t="shared" ref="J52:J150" si="1">I52-(0)/1000*$I$5</f>
        <v>1420</v>
      </c>
      <c r="K52" s="472" t="s">
        <v>128</v>
      </c>
      <c r="L52" s="59"/>
    </row>
    <row r="53" spans="1:12" ht="96" x14ac:dyDescent="0.2">
      <c r="A53" s="56" t="s">
        <v>157</v>
      </c>
      <c r="B53" s="455" t="s">
        <v>157</v>
      </c>
      <c r="C53" s="470" t="s">
        <v>256</v>
      </c>
      <c r="D53" s="232"/>
      <c r="E53" s="176" t="s">
        <v>897</v>
      </c>
      <c r="F53" s="472" t="s">
        <v>1072</v>
      </c>
      <c r="G53" s="187" t="s">
        <v>4</v>
      </c>
      <c r="H53" s="187" t="s">
        <v>86</v>
      </c>
      <c r="I53" s="188">
        <f>(5583000)/1000*$I$5</f>
        <v>5583</v>
      </c>
      <c r="J53" s="188">
        <f>I53-(901966)/1000*$I$5</f>
        <v>4681.0339999999997</v>
      </c>
      <c r="K53" s="472" t="s">
        <v>134</v>
      </c>
      <c r="L53" s="59"/>
    </row>
    <row r="54" spans="1:12" ht="60" x14ac:dyDescent="0.2">
      <c r="A54" s="56" t="s">
        <v>158</v>
      </c>
      <c r="B54" s="455" t="s">
        <v>158</v>
      </c>
      <c r="C54" s="470" t="s">
        <v>895</v>
      </c>
      <c r="D54" s="617" t="s">
        <v>1064</v>
      </c>
      <c r="E54" s="176" t="s">
        <v>896</v>
      </c>
      <c r="F54" s="472" t="s">
        <v>1073</v>
      </c>
      <c r="G54" s="187" t="s">
        <v>4</v>
      </c>
      <c r="H54" s="189" t="s">
        <v>649</v>
      </c>
      <c r="I54" s="188">
        <f>(42143938)/1000*$I$5</f>
        <v>42143.938000000002</v>
      </c>
      <c r="J54" s="188">
        <f>I54-(27790161.6)/1000*$I$5</f>
        <v>14353.776399999999</v>
      </c>
      <c r="K54" s="472" t="s">
        <v>133</v>
      </c>
      <c r="L54" s="59"/>
    </row>
    <row r="55" spans="1:12" ht="84" x14ac:dyDescent="0.2">
      <c r="A55" s="56" t="s">
        <v>159</v>
      </c>
      <c r="B55" s="455" t="s">
        <v>159</v>
      </c>
      <c r="C55" s="470" t="s">
        <v>257</v>
      </c>
      <c r="D55" s="617"/>
      <c r="E55" s="176" t="s">
        <v>898</v>
      </c>
      <c r="F55" s="472" t="s">
        <v>1074</v>
      </c>
      <c r="G55" s="187" t="s">
        <v>14</v>
      </c>
      <c r="H55" s="187" t="s">
        <v>7</v>
      </c>
      <c r="I55" s="188">
        <f>(7800000)/1000*$I$5</f>
        <v>7800</v>
      </c>
      <c r="J55" s="188">
        <f>I55-(886884)/1000*$I$5</f>
        <v>6913.116</v>
      </c>
      <c r="K55" s="472" t="s">
        <v>135</v>
      </c>
      <c r="L55" s="59"/>
    </row>
    <row r="56" spans="1:12" ht="72" x14ac:dyDescent="0.2">
      <c r="A56" s="56" t="s">
        <v>160</v>
      </c>
      <c r="B56" s="455" t="s">
        <v>160</v>
      </c>
      <c r="C56" s="470" t="s">
        <v>1075</v>
      </c>
      <c r="D56" s="617"/>
      <c r="E56" s="176" t="s">
        <v>899</v>
      </c>
      <c r="F56" s="472" t="s">
        <v>1076</v>
      </c>
      <c r="G56" s="187" t="s">
        <v>58</v>
      </c>
      <c r="H56" s="187" t="s">
        <v>9</v>
      </c>
      <c r="I56" s="188">
        <f>(5200000)/1000*$I$5</f>
        <v>5200</v>
      </c>
      <c r="J56" s="188">
        <f t="shared" si="1"/>
        <v>5200</v>
      </c>
      <c r="K56" s="472" t="s">
        <v>136</v>
      </c>
      <c r="L56" s="59"/>
    </row>
    <row r="57" spans="1:12" ht="48" x14ac:dyDescent="0.2">
      <c r="A57" s="56" t="s">
        <v>161</v>
      </c>
      <c r="B57" s="455" t="s">
        <v>161</v>
      </c>
      <c r="C57" s="470" t="s">
        <v>1077</v>
      </c>
      <c r="D57" s="232"/>
      <c r="E57" s="176" t="s">
        <v>900</v>
      </c>
      <c r="F57" s="470" t="s">
        <v>1077</v>
      </c>
      <c r="G57" s="187" t="s">
        <v>93</v>
      </c>
      <c r="H57" s="187" t="s">
        <v>137</v>
      </c>
      <c r="I57" s="188">
        <f>(700000)/1000*$I$5</f>
        <v>700</v>
      </c>
      <c r="J57" s="188">
        <f>I57-(370000)/1000*$I$5</f>
        <v>330</v>
      </c>
      <c r="K57" s="472" t="s">
        <v>128</v>
      </c>
      <c r="L57" s="59"/>
    </row>
    <row r="58" spans="1:12" ht="60" x14ac:dyDescent="0.2">
      <c r="A58" s="56" t="s">
        <v>162</v>
      </c>
      <c r="B58" s="455" t="s">
        <v>162</v>
      </c>
      <c r="C58" s="470" t="s">
        <v>260</v>
      </c>
      <c r="D58" s="232"/>
      <c r="E58" s="176" t="s">
        <v>901</v>
      </c>
      <c r="F58" s="470" t="s">
        <v>260</v>
      </c>
      <c r="G58" s="187" t="s">
        <v>137</v>
      </c>
      <c r="H58" s="187" t="s">
        <v>95</v>
      </c>
      <c r="I58" s="188">
        <f>(1050000)/1000*$I$5</f>
        <v>1050</v>
      </c>
      <c r="J58" s="188">
        <f t="shared" si="1"/>
        <v>1050</v>
      </c>
      <c r="K58" s="472" t="s">
        <v>128</v>
      </c>
      <c r="L58" s="59"/>
    </row>
    <row r="59" spans="1:12" ht="72" x14ac:dyDescent="0.2">
      <c r="A59" s="56" t="s">
        <v>163</v>
      </c>
      <c r="B59" s="455" t="s">
        <v>163</v>
      </c>
      <c r="C59" s="470" t="s">
        <v>902</v>
      </c>
      <c r="D59" s="232"/>
      <c r="E59" s="176" t="s">
        <v>903</v>
      </c>
      <c r="F59" s="465" t="s">
        <v>1078</v>
      </c>
      <c r="G59" s="187" t="s">
        <v>91</v>
      </c>
      <c r="H59" s="187" t="s">
        <v>95</v>
      </c>
      <c r="I59" s="188">
        <f>(3066113)/1000*$I$5</f>
        <v>3066.1129999999998</v>
      </c>
      <c r="J59" s="188">
        <f t="shared" si="1"/>
        <v>3066.1129999999998</v>
      </c>
      <c r="K59" s="472" t="s">
        <v>138</v>
      </c>
      <c r="L59" s="59"/>
    </row>
    <row r="60" spans="1:12" ht="72" x14ac:dyDescent="0.2">
      <c r="A60" s="56" t="s">
        <v>164</v>
      </c>
      <c r="B60" s="455" t="s">
        <v>164</v>
      </c>
      <c r="C60" s="470" t="s">
        <v>905</v>
      </c>
      <c r="D60" s="232"/>
      <c r="E60" s="176" t="s">
        <v>906</v>
      </c>
      <c r="F60" s="465" t="s">
        <v>1079</v>
      </c>
      <c r="G60" s="187" t="s">
        <v>60</v>
      </c>
      <c r="H60" s="187" t="s">
        <v>139</v>
      </c>
      <c r="I60" s="188">
        <f>(5238644)/1000*$I$5</f>
        <v>5238.6440000000002</v>
      </c>
      <c r="J60" s="188">
        <f t="shared" si="1"/>
        <v>5238.6440000000002</v>
      </c>
      <c r="K60" s="472" t="s">
        <v>140</v>
      </c>
      <c r="L60" s="59"/>
    </row>
    <row r="61" spans="1:12" ht="60" x14ac:dyDescent="0.2">
      <c r="A61" s="56" t="s">
        <v>165</v>
      </c>
      <c r="B61" s="455" t="s">
        <v>165</v>
      </c>
      <c r="C61" s="470" t="s">
        <v>907</v>
      </c>
      <c r="D61" s="232"/>
      <c r="E61" s="176" t="s">
        <v>908</v>
      </c>
      <c r="F61" s="465" t="s">
        <v>1080</v>
      </c>
      <c r="G61" s="187" t="s">
        <v>95</v>
      </c>
      <c r="H61" s="187" t="s">
        <v>9</v>
      </c>
      <c r="I61" s="188">
        <f>(2995000)/1000*$I$5</f>
        <v>2995</v>
      </c>
      <c r="J61" s="188">
        <f t="shared" si="1"/>
        <v>2995</v>
      </c>
      <c r="K61" s="472" t="s">
        <v>140</v>
      </c>
      <c r="L61" s="59"/>
    </row>
    <row r="62" spans="1:12" ht="48" customHeight="1" x14ac:dyDescent="0.2">
      <c r="A62" s="56" t="s">
        <v>166</v>
      </c>
      <c r="B62" s="455" t="s">
        <v>166</v>
      </c>
      <c r="C62" s="470" t="s">
        <v>263</v>
      </c>
      <c r="D62" s="232"/>
      <c r="E62" s="176" t="s">
        <v>909</v>
      </c>
      <c r="F62" s="472" t="s">
        <v>1081</v>
      </c>
      <c r="G62" s="187" t="s">
        <v>141</v>
      </c>
      <c r="H62" s="189" t="s">
        <v>910</v>
      </c>
      <c r="I62" s="188">
        <f>(4930000)/1000*$I$5</f>
        <v>4930</v>
      </c>
      <c r="J62" s="188">
        <f t="shared" si="1"/>
        <v>4930</v>
      </c>
      <c r="K62" s="472" t="s">
        <v>143</v>
      </c>
      <c r="L62" s="59"/>
    </row>
    <row r="63" spans="1:12" s="281" customFormat="1" ht="99.75" customHeight="1" x14ac:dyDescent="0.2">
      <c r="A63" s="455"/>
      <c r="B63" s="455" t="s">
        <v>167</v>
      </c>
      <c r="C63" s="483" t="s">
        <v>1506</v>
      </c>
      <c r="D63" s="286" t="s">
        <v>1534</v>
      </c>
      <c r="E63" s="488" t="s">
        <v>1504</v>
      </c>
      <c r="F63" s="479" t="s">
        <v>1515</v>
      </c>
      <c r="G63" s="455" t="s">
        <v>1505</v>
      </c>
      <c r="H63" s="284" t="s">
        <v>1491</v>
      </c>
      <c r="I63" s="279">
        <f>(1250000)/1000*$I$5</f>
        <v>1250</v>
      </c>
      <c r="J63" s="279">
        <f t="shared" si="1"/>
        <v>1250</v>
      </c>
      <c r="K63" s="479" t="s">
        <v>1507</v>
      </c>
      <c r="L63" s="283"/>
    </row>
    <row r="64" spans="1:12" s="281" customFormat="1" ht="124.5" customHeight="1" x14ac:dyDescent="0.2">
      <c r="A64" s="455"/>
      <c r="B64" s="455" t="s">
        <v>168</v>
      </c>
      <c r="C64" s="483" t="s">
        <v>1508</v>
      </c>
      <c r="D64" s="285"/>
      <c r="E64" s="488" t="s">
        <v>1511</v>
      </c>
      <c r="F64" s="479" t="s">
        <v>1510</v>
      </c>
      <c r="G64" s="455" t="s">
        <v>1512</v>
      </c>
      <c r="H64" s="284" t="s">
        <v>1513</v>
      </c>
      <c r="I64" s="279">
        <f>(9500000)/1000*$I$5</f>
        <v>9500</v>
      </c>
      <c r="J64" s="279">
        <f t="shared" si="1"/>
        <v>9500</v>
      </c>
      <c r="K64" s="479" t="s">
        <v>1509</v>
      </c>
      <c r="L64" s="283"/>
    </row>
    <row r="65" spans="1:14" s="281" customFormat="1" ht="101.25" customHeight="1" x14ac:dyDescent="0.2">
      <c r="A65" s="455"/>
      <c r="B65" s="455" t="s">
        <v>297</v>
      </c>
      <c r="C65" s="483" t="s">
        <v>1506</v>
      </c>
      <c r="D65" s="285"/>
      <c r="E65" s="488" t="s">
        <v>1516</v>
      </c>
      <c r="F65" s="479" t="s">
        <v>1514</v>
      </c>
      <c r="G65" s="455" t="s">
        <v>1519</v>
      </c>
      <c r="H65" s="284" t="s">
        <v>1520</v>
      </c>
      <c r="I65" s="279">
        <f>(1085000)/1000*$I$5</f>
        <v>1085</v>
      </c>
      <c r="J65" s="279">
        <f t="shared" si="1"/>
        <v>1085</v>
      </c>
      <c r="K65" s="479"/>
      <c r="L65" s="283"/>
    </row>
    <row r="66" spans="1:14" s="281" customFormat="1" ht="82.5" customHeight="1" x14ac:dyDescent="0.2">
      <c r="A66" s="455"/>
      <c r="B66" s="455" t="s">
        <v>306</v>
      </c>
      <c r="C66" s="483" t="s">
        <v>1524</v>
      </c>
      <c r="D66" s="630" t="s">
        <v>1533</v>
      </c>
      <c r="E66" s="488" t="s">
        <v>1521</v>
      </c>
      <c r="F66" s="479" t="s">
        <v>1523</v>
      </c>
      <c r="G66" s="455" t="s">
        <v>1522</v>
      </c>
      <c r="H66" s="284" t="s">
        <v>1522</v>
      </c>
      <c r="I66" s="279">
        <f>(930000)/1000*$I$5</f>
        <v>930</v>
      </c>
      <c r="J66" s="279">
        <f t="shared" si="1"/>
        <v>930</v>
      </c>
      <c r="K66" s="479"/>
      <c r="L66" s="283"/>
    </row>
    <row r="67" spans="1:14" s="281" customFormat="1" ht="102.75" customHeight="1" x14ac:dyDescent="0.2">
      <c r="A67" s="455"/>
      <c r="B67" s="455" t="s">
        <v>2568</v>
      </c>
      <c r="C67" s="483" t="s">
        <v>1529</v>
      </c>
      <c r="D67" s="630"/>
      <c r="E67" s="488" t="s">
        <v>1525</v>
      </c>
      <c r="F67" s="479" t="s">
        <v>1528</v>
      </c>
      <c r="G67" s="455" t="s">
        <v>1526</v>
      </c>
      <c r="H67" s="284" t="s">
        <v>1527</v>
      </c>
      <c r="I67" s="279">
        <f>(1600000)/1000*$I$5</f>
        <v>1600</v>
      </c>
      <c r="J67" s="279">
        <f t="shared" si="1"/>
        <v>1600</v>
      </c>
      <c r="K67" s="479"/>
      <c r="L67" s="283"/>
    </row>
    <row r="68" spans="1:14" ht="84" x14ac:dyDescent="0.2">
      <c r="A68" s="56" t="s">
        <v>167</v>
      </c>
      <c r="B68" s="455" t="s">
        <v>2569</v>
      </c>
      <c r="C68" s="470" t="s">
        <v>264</v>
      </c>
      <c r="D68" s="583" t="s">
        <v>1083</v>
      </c>
      <c r="E68" s="176" t="s">
        <v>1082</v>
      </c>
      <c r="F68" s="472" t="s">
        <v>1084</v>
      </c>
      <c r="G68" s="187" t="s">
        <v>86</v>
      </c>
      <c r="H68" s="187" t="s">
        <v>95</v>
      </c>
      <c r="I68" s="188">
        <f>(3048480)/1000*$I$5</f>
        <v>3048.48</v>
      </c>
      <c r="J68" s="188">
        <f t="shared" si="1"/>
        <v>3048.48</v>
      </c>
      <c r="K68" s="472" t="s">
        <v>144</v>
      </c>
      <c r="L68" s="59"/>
    </row>
    <row r="69" spans="1:14" ht="93.75" customHeight="1" x14ac:dyDescent="0.2">
      <c r="A69" s="56" t="s">
        <v>168</v>
      </c>
      <c r="B69" s="455" t="s">
        <v>2570</v>
      </c>
      <c r="C69" s="470" t="s">
        <v>265</v>
      </c>
      <c r="D69" s="583"/>
      <c r="E69" s="176" t="s">
        <v>916</v>
      </c>
      <c r="F69" s="472" t="s">
        <v>1085</v>
      </c>
      <c r="G69" s="187" t="s">
        <v>103</v>
      </c>
      <c r="H69" s="189" t="s">
        <v>915</v>
      </c>
      <c r="I69" s="188">
        <f>(3942141)/1000*$I$5</f>
        <v>3942.1410000000001</v>
      </c>
      <c r="J69" s="188">
        <f t="shared" si="1"/>
        <v>3942.1410000000001</v>
      </c>
      <c r="K69" s="472" t="s">
        <v>143</v>
      </c>
      <c r="L69" s="59"/>
    </row>
    <row r="70" spans="1:14" ht="145.5" customHeight="1" x14ac:dyDescent="0.2">
      <c r="A70" s="56" t="s">
        <v>297</v>
      </c>
      <c r="B70" s="455" t="s">
        <v>2571</v>
      </c>
      <c r="C70" s="470" t="s">
        <v>296</v>
      </c>
      <c r="D70" s="465" t="s">
        <v>1087</v>
      </c>
      <c r="E70" s="176" t="s">
        <v>911</v>
      </c>
      <c r="F70" s="472" t="s">
        <v>1086</v>
      </c>
      <c r="G70" s="187" t="s">
        <v>13</v>
      </c>
      <c r="H70" s="189" t="s">
        <v>48</v>
      </c>
      <c r="I70" s="188">
        <f>(1397275.21)/1000*$I$5</f>
        <v>1397.27521</v>
      </c>
      <c r="J70" s="188">
        <f t="shared" si="1"/>
        <v>1397.27521</v>
      </c>
      <c r="K70" s="472" t="s">
        <v>144</v>
      </c>
      <c r="L70" s="59"/>
    </row>
    <row r="71" spans="1:14" ht="144.75" customHeight="1" x14ac:dyDescent="0.2">
      <c r="A71" s="56" t="s">
        <v>306</v>
      </c>
      <c r="B71" s="455" t="s">
        <v>2572</v>
      </c>
      <c r="C71" s="470" t="s">
        <v>913</v>
      </c>
      <c r="D71" s="465" t="s">
        <v>1088</v>
      </c>
      <c r="E71" s="176" t="s">
        <v>912</v>
      </c>
      <c r="F71" s="472" t="s">
        <v>1089</v>
      </c>
      <c r="G71" s="187" t="s">
        <v>78</v>
      </c>
      <c r="H71" s="189" t="s">
        <v>52</v>
      </c>
      <c r="I71" s="188">
        <f>(1460000)/1000*$I$5</f>
        <v>1460</v>
      </c>
      <c r="J71" s="188">
        <f t="shared" si="1"/>
        <v>1460</v>
      </c>
      <c r="K71" s="472" t="s">
        <v>144</v>
      </c>
      <c r="L71" s="59"/>
    </row>
    <row r="72" spans="1:14" ht="48.75" customHeight="1" x14ac:dyDescent="0.2">
      <c r="A72" s="233" t="s">
        <v>186</v>
      </c>
      <c r="B72" s="376" t="s">
        <v>186</v>
      </c>
      <c r="C72" s="219" t="s">
        <v>799</v>
      </c>
      <c r="D72" s="230" t="s">
        <v>1090</v>
      </c>
      <c r="E72" s="182"/>
      <c r="F72" s="464"/>
      <c r="G72" s="467"/>
      <c r="H72" s="234"/>
      <c r="I72" s="196"/>
      <c r="J72" s="196"/>
      <c r="K72" s="471"/>
      <c r="L72" s="231"/>
    </row>
    <row r="73" spans="1:14" ht="104.25" customHeight="1" x14ac:dyDescent="0.2">
      <c r="A73" s="56" t="s">
        <v>173</v>
      </c>
      <c r="B73" s="455" t="s">
        <v>173</v>
      </c>
      <c r="C73" s="470" t="s">
        <v>919</v>
      </c>
      <c r="D73" s="465" t="s">
        <v>1091</v>
      </c>
      <c r="E73" s="176" t="s">
        <v>918</v>
      </c>
      <c r="F73" s="472" t="s">
        <v>1093</v>
      </c>
      <c r="G73" s="187" t="s">
        <v>25</v>
      </c>
      <c r="H73" s="189" t="s">
        <v>86</v>
      </c>
      <c r="I73" s="188">
        <f>(5990000)/1000*$I$5</f>
        <v>5990</v>
      </c>
      <c r="J73" s="188">
        <f>I73-(2790000)/1000*$I$5</f>
        <v>3200</v>
      </c>
      <c r="K73" s="472" t="s">
        <v>184</v>
      </c>
      <c r="L73" s="59"/>
    </row>
    <row r="74" spans="1:14" ht="108" x14ac:dyDescent="0.2">
      <c r="A74" s="56" t="s">
        <v>187</v>
      </c>
      <c r="B74" s="455" t="s">
        <v>187</v>
      </c>
      <c r="C74" s="470" t="s">
        <v>921</v>
      </c>
      <c r="D74" s="465" t="s">
        <v>1092</v>
      </c>
      <c r="E74" s="176" t="s">
        <v>920</v>
      </c>
      <c r="F74" s="472" t="s">
        <v>1094</v>
      </c>
      <c r="G74" s="189" t="s">
        <v>86</v>
      </c>
      <c r="H74" s="189" t="s">
        <v>139</v>
      </c>
      <c r="I74" s="188">
        <f>(6100000)/1000*$I$5</f>
        <v>6100</v>
      </c>
      <c r="J74" s="188">
        <f>I74-(2790)/1000*$I$5</f>
        <v>6097.21</v>
      </c>
      <c r="K74" s="472" t="s">
        <v>185</v>
      </c>
      <c r="L74" s="59"/>
    </row>
    <row r="75" spans="1:14" s="281" customFormat="1" ht="84" customHeight="1" x14ac:dyDescent="0.2">
      <c r="A75" s="455"/>
      <c r="B75" s="455" t="s">
        <v>188</v>
      </c>
      <c r="C75" s="483" t="s">
        <v>1540</v>
      </c>
      <c r="D75" s="630" t="s">
        <v>1537</v>
      </c>
      <c r="E75" s="488" t="s">
        <v>1531</v>
      </c>
      <c r="F75" s="479" t="s">
        <v>1539</v>
      </c>
      <c r="G75" s="284" t="s">
        <v>20</v>
      </c>
      <c r="H75" s="284" t="s">
        <v>19</v>
      </c>
      <c r="I75" s="279">
        <f>(1700000)/1000*$I$5</f>
        <v>1700</v>
      </c>
      <c r="J75" s="279">
        <f>I75-(0)/1000*$I$5</f>
        <v>1700</v>
      </c>
      <c r="K75" s="479"/>
      <c r="L75" s="283"/>
    </row>
    <row r="76" spans="1:14" s="281" customFormat="1" ht="120" x14ac:dyDescent="0.2">
      <c r="A76" s="455"/>
      <c r="B76" s="455" t="s">
        <v>2573</v>
      </c>
      <c r="C76" s="483" t="s">
        <v>1532</v>
      </c>
      <c r="D76" s="630"/>
      <c r="E76" s="488" t="s">
        <v>1530</v>
      </c>
      <c r="F76" s="479" t="s">
        <v>1538</v>
      </c>
      <c r="G76" s="284" t="s">
        <v>531</v>
      </c>
      <c r="H76" s="284" t="s">
        <v>17</v>
      </c>
      <c r="I76" s="279">
        <f>(3048646)/1000*$I$5</f>
        <v>3048.6460000000002</v>
      </c>
      <c r="J76" s="279">
        <f>I76-(0)/1000*$I$5</f>
        <v>3048.6460000000002</v>
      </c>
      <c r="K76" s="479"/>
      <c r="L76" s="283"/>
    </row>
    <row r="77" spans="1:14" ht="165.75" customHeight="1" x14ac:dyDescent="0.2">
      <c r="A77" s="75" t="s">
        <v>188</v>
      </c>
      <c r="B77" s="455" t="s">
        <v>2574</v>
      </c>
      <c r="C77" s="477" t="s">
        <v>922</v>
      </c>
      <c r="D77" s="466" t="s">
        <v>1095</v>
      </c>
      <c r="E77" s="181" t="s">
        <v>923</v>
      </c>
      <c r="F77" s="472" t="s">
        <v>1096</v>
      </c>
      <c r="G77" s="468" t="s">
        <v>46</v>
      </c>
      <c r="H77" s="236" t="s">
        <v>48</v>
      </c>
      <c r="I77" s="193">
        <f>(22567584.09)/1000*$I$5</f>
        <v>22567.58409</v>
      </c>
      <c r="J77" s="193">
        <f>I77-(1513641+2800000+165000)/1000*$I$5</f>
        <v>18088.943090000001</v>
      </c>
      <c r="K77" s="473" t="s">
        <v>189</v>
      </c>
      <c r="L77" s="228"/>
    </row>
    <row r="78" spans="1:14" ht="52.5" customHeight="1" x14ac:dyDescent="0.2">
      <c r="A78" s="233" t="s">
        <v>190</v>
      </c>
      <c r="B78" s="376" t="s">
        <v>190</v>
      </c>
      <c r="C78" s="219" t="s">
        <v>307</v>
      </c>
      <c r="D78" s="582" t="s">
        <v>1097</v>
      </c>
      <c r="E78" s="176"/>
      <c r="F78" s="464"/>
      <c r="G78" s="187"/>
      <c r="H78" s="189"/>
      <c r="I78" s="188"/>
      <c r="J78" s="188"/>
      <c r="K78" s="472"/>
      <c r="L78" s="59"/>
    </row>
    <row r="79" spans="1:14" ht="81" customHeight="1" x14ac:dyDescent="0.2">
      <c r="A79" s="56" t="s">
        <v>191</v>
      </c>
      <c r="B79" s="455" t="s">
        <v>191</v>
      </c>
      <c r="C79" s="470" t="s">
        <v>924</v>
      </c>
      <c r="D79" s="583"/>
      <c r="E79" s="176" t="s">
        <v>928</v>
      </c>
      <c r="F79" s="472" t="s">
        <v>924</v>
      </c>
      <c r="G79" s="187" t="s">
        <v>223</v>
      </c>
      <c r="H79" s="189" t="s">
        <v>1737</v>
      </c>
      <c r="I79" s="188">
        <f>(648433534.63)/1000*$I$5</f>
        <v>648433.53463000001</v>
      </c>
      <c r="J79" s="188">
        <f>I79-(4769735+3069504.4+251907)/1000*$I$5</f>
        <v>640342.38823000004</v>
      </c>
      <c r="K79" s="472" t="s">
        <v>224</v>
      </c>
      <c r="L79" s="59"/>
      <c r="M79" s="60" t="s">
        <v>657</v>
      </c>
      <c r="N79" s="60">
        <v>647023052.63</v>
      </c>
    </row>
    <row r="80" spans="1:14" ht="81.75" customHeight="1" x14ac:dyDescent="0.2">
      <c r="A80" s="56" t="s">
        <v>192</v>
      </c>
      <c r="B80" s="455" t="s">
        <v>192</v>
      </c>
      <c r="C80" s="470" t="s">
        <v>926</v>
      </c>
      <c r="D80" s="232"/>
      <c r="E80" s="176" t="s">
        <v>927</v>
      </c>
      <c r="F80" s="465" t="s">
        <v>1099</v>
      </c>
      <c r="G80" s="187" t="s">
        <v>31</v>
      </c>
      <c r="H80" s="187" t="s">
        <v>11</v>
      </c>
      <c r="I80" s="188">
        <f>(263049495)/1000*$I$5</f>
        <v>263049.495</v>
      </c>
      <c r="J80" s="188">
        <f>I80-(3429672+4392871+1527542)/1000*$I$5</f>
        <v>253699.41</v>
      </c>
      <c r="K80" s="472" t="s">
        <v>225</v>
      </c>
      <c r="L80" s="59"/>
    </row>
    <row r="81" spans="1:14" ht="60" x14ac:dyDescent="0.2">
      <c r="A81" s="56" t="s">
        <v>193</v>
      </c>
      <c r="B81" s="455" t="s">
        <v>193</v>
      </c>
      <c r="C81" s="470" t="s">
        <v>226</v>
      </c>
      <c r="D81" s="232"/>
      <c r="E81" s="176" t="s">
        <v>659</v>
      </c>
      <c r="F81" s="465" t="s">
        <v>1100</v>
      </c>
      <c r="G81" s="187" t="s">
        <v>227</v>
      </c>
      <c r="H81" s="189" t="s">
        <v>638</v>
      </c>
      <c r="I81" s="188">
        <f>(1071063203.31+1884095.47)/1000*$I$5</f>
        <v>1072947.2987800001</v>
      </c>
      <c r="J81" s="188">
        <f>I81-(213273640+1475718+31875722+14558003+15523386+31999188+33739055+9912986)/1000*$I$5</f>
        <v>720589.6007800001</v>
      </c>
      <c r="K81" s="472" t="s">
        <v>185</v>
      </c>
      <c r="L81" s="59"/>
      <c r="M81" s="60" t="s">
        <v>659</v>
      </c>
      <c r="N81" s="60">
        <v>1071063203.3099999</v>
      </c>
    </row>
    <row r="82" spans="1:14" ht="30" customHeight="1" x14ac:dyDescent="0.2">
      <c r="A82" s="56" t="s">
        <v>194</v>
      </c>
      <c r="B82" s="455" t="s">
        <v>194</v>
      </c>
      <c r="C82" s="470" t="s">
        <v>228</v>
      </c>
      <c r="D82" s="232"/>
      <c r="E82" s="176" t="s">
        <v>662</v>
      </c>
      <c r="F82" s="465" t="s">
        <v>1101</v>
      </c>
      <c r="G82" s="187" t="s">
        <v>13</v>
      </c>
      <c r="H82" s="189" t="s">
        <v>1102</v>
      </c>
      <c r="I82" s="188">
        <f>(580672306.54)/1000*$I$5</f>
        <v>580672.30654000002</v>
      </c>
      <c r="J82" s="188">
        <f>I82-(131445396+7611196+8912693+1312680)/1000*$I$5</f>
        <v>431390.34154000005</v>
      </c>
      <c r="K82" s="472" t="s">
        <v>229</v>
      </c>
      <c r="L82" s="59"/>
      <c r="M82" s="60" t="s">
        <v>662</v>
      </c>
      <c r="N82" s="60">
        <v>579856493.53999996</v>
      </c>
    </row>
    <row r="83" spans="1:14" ht="76.5" customHeight="1" x14ac:dyDescent="0.2">
      <c r="A83" s="56" t="s">
        <v>195</v>
      </c>
      <c r="B83" s="455" t="s">
        <v>195</v>
      </c>
      <c r="C83" s="470" t="s">
        <v>929</v>
      </c>
      <c r="D83" s="583" t="s">
        <v>1968</v>
      </c>
      <c r="E83" s="176" t="s">
        <v>663</v>
      </c>
      <c r="F83" s="465" t="s">
        <v>1104</v>
      </c>
      <c r="G83" s="187" t="s">
        <v>61</v>
      </c>
      <c r="H83" s="189" t="s">
        <v>3098</v>
      </c>
      <c r="I83" s="440">
        <f>(94377216.5)/1000*$I$5</f>
        <v>94377.216499999995</v>
      </c>
      <c r="J83" s="188">
        <f>I83-(1786257+876476+1566600)/1000*$I$5</f>
        <v>90147.883499999996</v>
      </c>
      <c r="K83" s="472" t="s">
        <v>237</v>
      </c>
      <c r="L83" s="59"/>
      <c r="M83" s="60" t="s">
        <v>663</v>
      </c>
    </row>
    <row r="84" spans="1:14" ht="36" x14ac:dyDescent="0.2">
      <c r="A84" s="56" t="s">
        <v>196</v>
      </c>
      <c r="B84" s="455" t="s">
        <v>196</v>
      </c>
      <c r="C84" s="470" t="s">
        <v>238</v>
      </c>
      <c r="D84" s="583"/>
      <c r="E84" s="176" t="s">
        <v>665</v>
      </c>
      <c r="F84" s="470" t="s">
        <v>238</v>
      </c>
      <c r="G84" s="187" t="s">
        <v>103</v>
      </c>
      <c r="H84" s="284" t="s">
        <v>1737</v>
      </c>
      <c r="I84" s="188">
        <f>(32773443)/1000*$I$5</f>
        <v>32773.442999999999</v>
      </c>
      <c r="J84" s="188">
        <f t="shared" ref="J84:J112" si="2">I84-(0)/1000*$I$5</f>
        <v>32773.442999999999</v>
      </c>
      <c r="K84" s="472" t="s">
        <v>239</v>
      </c>
      <c r="L84" s="59"/>
      <c r="M84" s="60" t="s">
        <v>665</v>
      </c>
    </row>
    <row r="85" spans="1:14" s="281" customFormat="1" ht="52.5" customHeight="1" x14ac:dyDescent="0.2">
      <c r="A85" s="455"/>
      <c r="B85" s="455" t="s">
        <v>197</v>
      </c>
      <c r="C85" s="483" t="s">
        <v>1974</v>
      </c>
      <c r="D85" s="630" t="s">
        <v>1969</v>
      </c>
      <c r="E85" s="488" t="s">
        <v>1970</v>
      </c>
      <c r="F85" s="483" t="s">
        <v>1971</v>
      </c>
      <c r="G85" s="455" t="s">
        <v>20</v>
      </c>
      <c r="H85" s="284" t="s">
        <v>17</v>
      </c>
      <c r="I85" s="279">
        <f>(3516949)/1000*$I$5</f>
        <v>3516.9490000000001</v>
      </c>
      <c r="J85" s="279">
        <f t="shared" si="2"/>
        <v>3516.9490000000001</v>
      </c>
      <c r="K85" s="479"/>
      <c r="L85" s="283"/>
    </row>
    <row r="86" spans="1:14" s="281" customFormat="1" ht="66" customHeight="1" x14ac:dyDescent="0.2">
      <c r="A86" s="455"/>
      <c r="B86" s="455" t="s">
        <v>198</v>
      </c>
      <c r="C86" s="483" t="s">
        <v>1975</v>
      </c>
      <c r="D86" s="630"/>
      <c r="E86" s="488" t="s">
        <v>1973</v>
      </c>
      <c r="F86" s="483" t="s">
        <v>1972</v>
      </c>
      <c r="G86" s="455" t="s">
        <v>18</v>
      </c>
      <c r="H86" s="284" t="s">
        <v>1591</v>
      </c>
      <c r="I86" s="279">
        <f>(16488747.5)/1000*$I$5</f>
        <v>16488.747500000001</v>
      </c>
      <c r="J86" s="279">
        <f t="shared" si="2"/>
        <v>16488.747500000001</v>
      </c>
      <c r="K86" s="479"/>
      <c r="L86" s="283"/>
    </row>
    <row r="87" spans="1:14" s="281" customFormat="1" ht="108" x14ac:dyDescent="0.2">
      <c r="A87" s="455"/>
      <c r="B87" s="455" t="s">
        <v>199</v>
      </c>
      <c r="C87" s="483" t="s">
        <v>1977</v>
      </c>
      <c r="D87" s="479"/>
      <c r="E87" s="488" t="s">
        <v>1976</v>
      </c>
      <c r="F87" s="483" t="s">
        <v>1978</v>
      </c>
      <c r="G87" s="455" t="s">
        <v>63</v>
      </c>
      <c r="H87" s="284" t="s">
        <v>1586</v>
      </c>
      <c r="I87" s="279">
        <f>(22181987)/1000*$I$5</f>
        <v>22181.987000000001</v>
      </c>
      <c r="J87" s="279">
        <f t="shared" si="2"/>
        <v>22181.987000000001</v>
      </c>
      <c r="K87" s="479"/>
      <c r="L87" s="283"/>
    </row>
    <row r="88" spans="1:14" s="281" customFormat="1" ht="73.5" customHeight="1" x14ac:dyDescent="0.2">
      <c r="A88" s="455"/>
      <c r="B88" s="455" t="s">
        <v>200</v>
      </c>
      <c r="C88" s="483" t="s">
        <v>1980</v>
      </c>
      <c r="D88" s="479" t="s">
        <v>1981</v>
      </c>
      <c r="E88" s="488" t="s">
        <v>1979</v>
      </c>
      <c r="F88" s="483" t="s">
        <v>1980</v>
      </c>
      <c r="G88" s="455" t="s">
        <v>872</v>
      </c>
      <c r="H88" s="284" t="s">
        <v>1579</v>
      </c>
      <c r="I88" s="279">
        <f>(2237655)/1000*$I$5</f>
        <v>2237.6550000000002</v>
      </c>
      <c r="J88" s="279">
        <f>I88-(952470.43)/1000*$I$5</f>
        <v>1285.1845700000001</v>
      </c>
      <c r="K88" s="479"/>
      <c r="L88" s="283"/>
    </row>
    <row r="89" spans="1:14" ht="68.25" customHeight="1" x14ac:dyDescent="0.2">
      <c r="A89" s="56" t="s">
        <v>197</v>
      </c>
      <c r="B89" s="455" t="s">
        <v>201</v>
      </c>
      <c r="C89" s="470" t="s">
        <v>1109</v>
      </c>
      <c r="D89" s="465" t="s">
        <v>1107</v>
      </c>
      <c r="E89" s="176" t="s">
        <v>930</v>
      </c>
      <c r="F89" s="470" t="s">
        <v>1108</v>
      </c>
      <c r="G89" s="187" t="s">
        <v>35</v>
      </c>
      <c r="H89" s="187" t="s">
        <v>230</v>
      </c>
      <c r="I89" s="188">
        <f>(11102044)/1000*$I$5</f>
        <v>11102.044</v>
      </c>
      <c r="J89" s="188">
        <f t="shared" si="2"/>
        <v>11102.044</v>
      </c>
      <c r="K89" s="472" t="s">
        <v>335</v>
      </c>
      <c r="L89" s="59"/>
    </row>
    <row r="90" spans="1:14" ht="52.5" customHeight="1" x14ac:dyDescent="0.2">
      <c r="A90" s="56" t="s">
        <v>198</v>
      </c>
      <c r="B90" s="455" t="s">
        <v>202</v>
      </c>
      <c r="C90" s="470" t="s">
        <v>932</v>
      </c>
      <c r="D90" s="583" t="s">
        <v>1112</v>
      </c>
      <c r="E90" s="176" t="s">
        <v>933</v>
      </c>
      <c r="F90" s="470" t="s">
        <v>1110</v>
      </c>
      <c r="G90" s="187" t="s">
        <v>61</v>
      </c>
      <c r="H90" s="187" t="s">
        <v>61</v>
      </c>
      <c r="I90" s="188">
        <f>(1441492)/1000*$I$5</f>
        <v>1441.492</v>
      </c>
      <c r="J90" s="188">
        <f t="shared" si="2"/>
        <v>1441.492</v>
      </c>
      <c r="K90" s="472" t="s">
        <v>235</v>
      </c>
      <c r="L90" s="59"/>
    </row>
    <row r="91" spans="1:14" ht="45.75" customHeight="1" x14ac:dyDescent="0.2">
      <c r="A91" s="56" t="s">
        <v>199</v>
      </c>
      <c r="B91" s="455" t="s">
        <v>203</v>
      </c>
      <c r="C91" s="470" t="s">
        <v>240</v>
      </c>
      <c r="D91" s="583"/>
      <c r="E91" s="176" t="s">
        <v>1962</v>
      </c>
      <c r="F91" s="470" t="s">
        <v>1111</v>
      </c>
      <c r="G91" s="187" t="s">
        <v>62</v>
      </c>
      <c r="H91" s="187" t="s">
        <v>16</v>
      </c>
      <c r="I91" s="188">
        <f>(2545771)/1000*$I$5</f>
        <v>2545.7710000000002</v>
      </c>
      <c r="J91" s="188">
        <f t="shared" si="2"/>
        <v>2545.7710000000002</v>
      </c>
      <c r="K91" s="472" t="s">
        <v>241</v>
      </c>
      <c r="L91" s="59"/>
    </row>
    <row r="92" spans="1:14" s="281" customFormat="1" ht="45.75" customHeight="1" x14ac:dyDescent="0.2">
      <c r="A92" s="455"/>
      <c r="B92" s="455" t="s">
        <v>204</v>
      </c>
      <c r="C92" s="483" t="s">
        <v>1967</v>
      </c>
      <c r="D92" s="479"/>
      <c r="E92" s="488" t="s">
        <v>1963</v>
      </c>
      <c r="F92" s="483" t="s">
        <v>1965</v>
      </c>
      <c r="G92" s="455" t="s">
        <v>21</v>
      </c>
      <c r="H92" s="455" t="s">
        <v>21</v>
      </c>
      <c r="I92" s="279">
        <f>(746070)/1000*$I$5</f>
        <v>746.07</v>
      </c>
      <c r="J92" s="279">
        <f t="shared" si="2"/>
        <v>746.07</v>
      </c>
      <c r="K92" s="479" t="s">
        <v>2943</v>
      </c>
      <c r="L92" s="283"/>
    </row>
    <row r="93" spans="1:14" s="281" customFormat="1" ht="62.25" customHeight="1" x14ac:dyDescent="0.2">
      <c r="A93" s="455"/>
      <c r="B93" s="455" t="s">
        <v>205</v>
      </c>
      <c r="C93" s="483" t="s">
        <v>1982</v>
      </c>
      <c r="D93" s="479"/>
      <c r="E93" s="488" t="s">
        <v>1964</v>
      </c>
      <c r="F93" s="483" t="s">
        <v>1966</v>
      </c>
      <c r="G93" s="455" t="s">
        <v>531</v>
      </c>
      <c r="H93" s="455" t="s">
        <v>15</v>
      </c>
      <c r="I93" s="279">
        <f>(12551445)/1000*$I$5</f>
        <v>12551.445</v>
      </c>
      <c r="J93" s="279">
        <f t="shared" si="2"/>
        <v>12551.445</v>
      </c>
      <c r="K93" s="479" t="s">
        <v>2944</v>
      </c>
      <c r="L93" s="283"/>
    </row>
    <row r="94" spans="1:14" s="281" customFormat="1" ht="62.25" customHeight="1" x14ac:dyDescent="0.2">
      <c r="A94" s="455"/>
      <c r="B94" s="455" t="s">
        <v>206</v>
      </c>
      <c r="C94" s="483" t="s">
        <v>1985</v>
      </c>
      <c r="D94" s="630" t="s">
        <v>234</v>
      </c>
      <c r="E94" s="488" t="s">
        <v>1983</v>
      </c>
      <c r="F94" s="483" t="s">
        <v>1984</v>
      </c>
      <c r="G94" s="455" t="s">
        <v>610</v>
      </c>
      <c r="H94" s="455" t="s">
        <v>872</v>
      </c>
      <c r="I94" s="279">
        <f>(4507625)/1000*$I$5</f>
        <v>4507.625</v>
      </c>
      <c r="J94" s="279">
        <f t="shared" si="2"/>
        <v>4507.625</v>
      </c>
      <c r="K94" s="479" t="s">
        <v>2944</v>
      </c>
      <c r="L94" s="283"/>
    </row>
    <row r="95" spans="1:14" s="281" customFormat="1" ht="91.5" customHeight="1" x14ac:dyDescent="0.2">
      <c r="A95" s="455"/>
      <c r="B95" s="455" t="s">
        <v>207</v>
      </c>
      <c r="C95" s="483" t="s">
        <v>1988</v>
      </c>
      <c r="D95" s="583"/>
      <c r="E95" s="488" t="s">
        <v>1986</v>
      </c>
      <c r="F95" s="483" t="s">
        <v>1987</v>
      </c>
      <c r="G95" s="455" t="s">
        <v>872</v>
      </c>
      <c r="H95" s="455" t="s">
        <v>638</v>
      </c>
      <c r="I95" s="279">
        <f>(508398.86)/1000*$I$5</f>
        <v>508.39886000000001</v>
      </c>
      <c r="J95" s="279">
        <f t="shared" si="2"/>
        <v>508.39886000000001</v>
      </c>
      <c r="K95" s="479" t="s">
        <v>2945</v>
      </c>
      <c r="L95" s="283"/>
    </row>
    <row r="96" spans="1:14" s="436" customFormat="1" ht="54" customHeight="1" x14ac:dyDescent="0.2">
      <c r="A96" s="431"/>
      <c r="B96" s="431" t="s">
        <v>668</v>
      </c>
      <c r="C96" s="509" t="s">
        <v>3101</v>
      </c>
      <c r="D96" s="492"/>
      <c r="E96" s="441" t="s">
        <v>3099</v>
      </c>
      <c r="F96" s="509" t="s">
        <v>3100</v>
      </c>
      <c r="G96" s="431" t="s">
        <v>3086</v>
      </c>
      <c r="H96" s="431" t="s">
        <v>2104</v>
      </c>
      <c r="I96" s="440">
        <f>(5851629)/1000*$J$5</f>
        <v>5851.6289999999999</v>
      </c>
      <c r="J96" s="440">
        <f>I96-(491210)/1000*$J$5</f>
        <v>5360.4189999999999</v>
      </c>
      <c r="K96" s="492"/>
      <c r="L96" s="446"/>
    </row>
    <row r="97" spans="1:14" s="436" customFormat="1" ht="69" customHeight="1" x14ac:dyDescent="0.2">
      <c r="A97" s="431"/>
      <c r="B97" s="431" t="s">
        <v>2575</v>
      </c>
      <c r="C97" s="509" t="s">
        <v>3102</v>
      </c>
      <c r="D97" s="492"/>
      <c r="E97" s="441" t="s">
        <v>3103</v>
      </c>
      <c r="F97" s="509" t="s">
        <v>3104</v>
      </c>
      <c r="G97" s="431" t="s">
        <v>1603</v>
      </c>
      <c r="H97" s="431"/>
      <c r="I97" s="440">
        <f>(9199607)/1000*$J$5</f>
        <v>9199.607</v>
      </c>
      <c r="J97" s="440">
        <f>I97-(513742)/1000*$J$5</f>
        <v>8685.8649999999998</v>
      </c>
      <c r="K97" s="492"/>
      <c r="L97" s="446"/>
    </row>
    <row r="98" spans="1:14" ht="144" x14ac:dyDescent="0.2">
      <c r="A98" s="56" t="s">
        <v>200</v>
      </c>
      <c r="B98" s="455" t="s">
        <v>668</v>
      </c>
      <c r="C98" s="470" t="s">
        <v>1115</v>
      </c>
      <c r="D98" s="472" t="s">
        <v>1113</v>
      </c>
      <c r="E98" s="226" t="s">
        <v>938</v>
      </c>
      <c r="F98" s="472" t="s">
        <v>1138</v>
      </c>
      <c r="G98" s="187" t="s">
        <v>8</v>
      </c>
      <c r="H98" s="187" t="s">
        <v>9</v>
      </c>
      <c r="I98" s="188">
        <f>(33456472)/1000*$I$5</f>
        <v>33456.472000000002</v>
      </c>
      <c r="J98" s="188">
        <f t="shared" si="2"/>
        <v>33456.472000000002</v>
      </c>
      <c r="K98" s="472" t="s">
        <v>936</v>
      </c>
      <c r="L98" s="59"/>
    </row>
    <row r="99" spans="1:14" ht="132" x14ac:dyDescent="0.2">
      <c r="A99" s="56" t="s">
        <v>201</v>
      </c>
      <c r="B99" s="455" t="s">
        <v>2575</v>
      </c>
      <c r="C99" s="470" t="s">
        <v>940</v>
      </c>
      <c r="D99" s="472" t="s">
        <v>1116</v>
      </c>
      <c r="E99" s="226" t="s">
        <v>546</v>
      </c>
      <c r="F99" s="472" t="s">
        <v>1114</v>
      </c>
      <c r="G99" s="187" t="s">
        <v>48</v>
      </c>
      <c r="H99" s="187" t="s">
        <v>9</v>
      </c>
      <c r="I99" s="188">
        <f>(96537111)/1000*$I$5</f>
        <v>96537.111000000004</v>
      </c>
      <c r="J99" s="188">
        <f>I99-(0)/1000*$I$5</f>
        <v>96537.111000000004</v>
      </c>
      <c r="K99" s="472" t="s">
        <v>545</v>
      </c>
      <c r="L99" s="59"/>
      <c r="M99" s="60" t="s">
        <v>546</v>
      </c>
    </row>
    <row r="100" spans="1:14" ht="96" x14ac:dyDescent="0.2">
      <c r="A100" s="56" t="s">
        <v>202</v>
      </c>
      <c r="B100" s="455" t="s">
        <v>2576</v>
      </c>
      <c r="C100" s="325" t="s">
        <v>942</v>
      </c>
      <c r="D100" s="472" t="s">
        <v>1180</v>
      </c>
      <c r="E100" s="176" t="s">
        <v>944</v>
      </c>
      <c r="F100" s="472" t="s">
        <v>1117</v>
      </c>
      <c r="G100" s="187" t="s">
        <v>13</v>
      </c>
      <c r="H100" s="187" t="s">
        <v>181</v>
      </c>
      <c r="I100" s="188">
        <f>(28683341.69)/1000*$I$5</f>
        <v>28683.341690000001</v>
      </c>
      <c r="J100" s="188">
        <f>I100-(5640762+8136815)/1000*$I$5</f>
        <v>14905.764690000002</v>
      </c>
      <c r="K100" s="472" t="s">
        <v>34</v>
      </c>
      <c r="L100" s="59"/>
    </row>
    <row r="101" spans="1:14" ht="48" x14ac:dyDescent="0.2">
      <c r="A101" s="56" t="s">
        <v>203</v>
      </c>
      <c r="B101" s="455" t="s">
        <v>2577</v>
      </c>
      <c r="C101" s="325" t="s">
        <v>945</v>
      </c>
      <c r="D101" s="465" t="s">
        <v>337</v>
      </c>
      <c r="E101" s="176" t="s">
        <v>946</v>
      </c>
      <c r="F101" s="472" t="s">
        <v>1118</v>
      </c>
      <c r="G101" s="187" t="s">
        <v>8</v>
      </c>
      <c r="H101" s="187" t="s">
        <v>295</v>
      </c>
      <c r="I101" s="188">
        <f>(2645492)/1000*$I$5</f>
        <v>2645.4920000000002</v>
      </c>
      <c r="J101" s="188">
        <f t="shared" si="2"/>
        <v>2645.4920000000002</v>
      </c>
      <c r="K101" s="472" t="s">
        <v>294</v>
      </c>
      <c r="L101" s="59"/>
    </row>
    <row r="102" spans="1:14" ht="80.25" customHeight="1" x14ac:dyDescent="0.2">
      <c r="A102" s="56" t="s">
        <v>204</v>
      </c>
      <c r="B102" s="455" t="s">
        <v>2578</v>
      </c>
      <c r="C102" s="325" t="s">
        <v>299</v>
      </c>
      <c r="D102" s="465" t="s">
        <v>1181</v>
      </c>
      <c r="E102" s="176" t="s">
        <v>950</v>
      </c>
      <c r="F102" s="472" t="s">
        <v>951</v>
      </c>
      <c r="G102" s="187" t="s">
        <v>36</v>
      </c>
      <c r="H102" s="187" t="s">
        <v>37</v>
      </c>
      <c r="I102" s="188">
        <v>8400</v>
      </c>
      <c r="J102" s="188">
        <v>8400</v>
      </c>
      <c r="K102" s="472" t="s">
        <v>38</v>
      </c>
      <c r="L102" s="59"/>
      <c r="M102" s="60">
        <v>3</v>
      </c>
    </row>
    <row r="103" spans="1:14" ht="112.5" customHeight="1" x14ac:dyDescent="0.2">
      <c r="A103" s="56" t="s">
        <v>205</v>
      </c>
      <c r="B103" s="455" t="s">
        <v>2579</v>
      </c>
      <c r="C103" s="470" t="s">
        <v>23</v>
      </c>
      <c r="D103" s="465" t="s">
        <v>1119</v>
      </c>
      <c r="E103" s="176" t="s">
        <v>947</v>
      </c>
      <c r="F103" s="472" t="s">
        <v>1120</v>
      </c>
      <c r="G103" s="187" t="s">
        <v>12</v>
      </c>
      <c r="H103" s="187" t="s">
        <v>25</v>
      </c>
      <c r="I103" s="188">
        <f>(6953730.8)/1000*$I$5</f>
        <v>6953.7307999999994</v>
      </c>
      <c r="J103" s="188">
        <f>I103-(0)/1000*$I$5</f>
        <v>6953.7307999999994</v>
      </c>
      <c r="K103" s="472" t="s">
        <v>948</v>
      </c>
      <c r="L103" s="59"/>
      <c r="M103" s="60" t="s">
        <v>947</v>
      </c>
      <c r="N103" s="60">
        <v>68</v>
      </c>
    </row>
    <row r="104" spans="1:14" ht="67.5" customHeight="1" x14ac:dyDescent="0.2">
      <c r="A104" s="56" t="s">
        <v>206</v>
      </c>
      <c r="B104" s="455" t="s">
        <v>2580</v>
      </c>
      <c r="C104" s="470" t="s">
        <v>300</v>
      </c>
      <c r="D104" s="465" t="s">
        <v>302</v>
      </c>
      <c r="E104" s="176" t="s">
        <v>952</v>
      </c>
      <c r="F104" s="472" t="s">
        <v>1121</v>
      </c>
      <c r="G104" s="187" t="s">
        <v>5</v>
      </c>
      <c r="H104" s="187" t="s">
        <v>7</v>
      </c>
      <c r="I104" s="188">
        <f>(3599389.4/1.18)/1000*$I$5</f>
        <v>3050.33</v>
      </c>
      <c r="J104" s="188">
        <f t="shared" si="2"/>
        <v>3050.33</v>
      </c>
      <c r="K104" s="472" t="s">
        <v>301</v>
      </c>
      <c r="L104" s="59"/>
    </row>
    <row r="105" spans="1:14" ht="81.75" customHeight="1" x14ac:dyDescent="0.2">
      <c r="A105" s="56" t="s">
        <v>207</v>
      </c>
      <c r="B105" s="455" t="s">
        <v>2581</v>
      </c>
      <c r="C105" s="470" t="s">
        <v>303</v>
      </c>
      <c r="D105" s="465" t="s">
        <v>305</v>
      </c>
      <c r="E105" s="176" t="s">
        <v>622</v>
      </c>
      <c r="F105" s="472" t="s">
        <v>1122</v>
      </c>
      <c r="G105" s="187" t="s">
        <v>139</v>
      </c>
      <c r="H105" s="187" t="s">
        <v>211</v>
      </c>
      <c r="I105" s="188">
        <f>(5412330)/1000*$I$5</f>
        <v>5412.33</v>
      </c>
      <c r="J105" s="188">
        <f t="shared" si="2"/>
        <v>5412.33</v>
      </c>
      <c r="K105" s="472" t="s">
        <v>304</v>
      </c>
      <c r="L105" s="59"/>
      <c r="M105" s="60" t="s">
        <v>622</v>
      </c>
    </row>
    <row r="106" spans="1:14" s="281" customFormat="1" ht="81.75" customHeight="1" x14ac:dyDescent="0.2">
      <c r="A106" s="455"/>
      <c r="B106" s="455" t="s">
        <v>2582</v>
      </c>
      <c r="C106" s="483" t="s">
        <v>2218</v>
      </c>
      <c r="D106" s="479" t="s">
        <v>2222</v>
      </c>
      <c r="E106" s="488" t="s">
        <v>2221</v>
      </c>
      <c r="F106" s="479" t="s">
        <v>2219</v>
      </c>
      <c r="G106" s="455" t="s">
        <v>19</v>
      </c>
      <c r="H106" s="284" t="s">
        <v>638</v>
      </c>
      <c r="I106" s="279">
        <f>(381253)/1000*$I$5</f>
        <v>381.25299999999999</v>
      </c>
      <c r="J106" s="279">
        <f t="shared" si="2"/>
        <v>381.25299999999999</v>
      </c>
      <c r="K106" s="479" t="s">
        <v>2220</v>
      </c>
      <c r="L106" s="283"/>
    </row>
    <row r="107" spans="1:14" s="281" customFormat="1" ht="108" x14ac:dyDescent="0.2">
      <c r="A107" s="455"/>
      <c r="B107" s="455" t="s">
        <v>2583</v>
      </c>
      <c r="C107" s="483" t="s">
        <v>2360</v>
      </c>
      <c r="D107" s="479" t="s">
        <v>2363</v>
      </c>
      <c r="E107" s="488" t="s">
        <v>2362</v>
      </c>
      <c r="F107" s="479" t="s">
        <v>2359</v>
      </c>
      <c r="G107" s="455" t="s">
        <v>1591</v>
      </c>
      <c r="H107" s="284" t="s">
        <v>1579</v>
      </c>
      <c r="I107" s="279">
        <f>(501341)/1000*$I$5</f>
        <v>501.34100000000001</v>
      </c>
      <c r="J107" s="279">
        <f t="shared" si="2"/>
        <v>501.34100000000001</v>
      </c>
      <c r="K107" s="479" t="s">
        <v>2361</v>
      </c>
      <c r="L107" s="283"/>
    </row>
    <row r="108" spans="1:14" s="281" customFormat="1" ht="81.75" customHeight="1" x14ac:dyDescent="0.2">
      <c r="A108" s="455"/>
      <c r="B108" s="455" t="s">
        <v>2584</v>
      </c>
      <c r="C108" s="634" t="s">
        <v>2367</v>
      </c>
      <c r="D108" s="630" t="s">
        <v>2364</v>
      </c>
      <c r="E108" s="488" t="s">
        <v>2365</v>
      </c>
      <c r="F108" s="479" t="s">
        <v>2366</v>
      </c>
      <c r="G108" s="455" t="s">
        <v>1591</v>
      </c>
      <c r="H108" s="284" t="s">
        <v>1520</v>
      </c>
      <c r="I108" s="279">
        <f>(1711227)/1000*$I$5</f>
        <v>1711.2270000000001</v>
      </c>
      <c r="J108" s="279">
        <f t="shared" si="2"/>
        <v>1711.2270000000001</v>
      </c>
      <c r="K108" s="479" t="s">
        <v>2371</v>
      </c>
      <c r="L108" s="283"/>
    </row>
    <row r="109" spans="1:14" s="281" customFormat="1" ht="81.75" customHeight="1" x14ac:dyDescent="0.2">
      <c r="A109" s="455"/>
      <c r="B109" s="455" t="s">
        <v>2585</v>
      </c>
      <c r="C109" s="634"/>
      <c r="D109" s="630"/>
      <c r="E109" s="488" t="s">
        <v>2370</v>
      </c>
      <c r="F109" s="479" t="s">
        <v>2368</v>
      </c>
      <c r="G109" s="455" t="s">
        <v>1875</v>
      </c>
      <c r="H109" s="284" t="s">
        <v>1875</v>
      </c>
      <c r="I109" s="279">
        <f>(104321)/1000*$I$5</f>
        <v>104.321</v>
      </c>
      <c r="J109" s="279">
        <f t="shared" si="2"/>
        <v>104.321</v>
      </c>
      <c r="K109" s="479" t="s">
        <v>2369</v>
      </c>
      <c r="L109" s="283"/>
    </row>
    <row r="110" spans="1:14" s="281" customFormat="1" ht="120" x14ac:dyDescent="0.2">
      <c r="A110" s="455"/>
      <c r="B110" s="455" t="s">
        <v>2586</v>
      </c>
      <c r="C110" s="483" t="s">
        <v>2373</v>
      </c>
      <c r="D110" s="479" t="s">
        <v>2374</v>
      </c>
      <c r="E110" s="488" t="s">
        <v>2375</v>
      </c>
      <c r="F110" s="479" t="s">
        <v>2372</v>
      </c>
      <c r="G110" s="455" t="s">
        <v>1575</v>
      </c>
      <c r="H110" s="284" t="s">
        <v>638</v>
      </c>
      <c r="I110" s="279">
        <f>(1186441)/1000*$I$5</f>
        <v>1186.441</v>
      </c>
      <c r="J110" s="279">
        <f t="shared" si="2"/>
        <v>1186.441</v>
      </c>
      <c r="K110" s="479" t="s">
        <v>2376</v>
      </c>
      <c r="L110" s="283"/>
    </row>
    <row r="111" spans="1:14" s="281" customFormat="1" ht="94.5" customHeight="1" x14ac:dyDescent="0.2">
      <c r="A111" s="412"/>
      <c r="B111" s="412" t="s">
        <v>2587</v>
      </c>
      <c r="C111" s="482" t="s">
        <v>2379</v>
      </c>
      <c r="D111" s="480" t="s">
        <v>2380</v>
      </c>
      <c r="E111" s="489" t="s">
        <v>2381</v>
      </c>
      <c r="F111" s="480" t="s">
        <v>2378</v>
      </c>
      <c r="G111" s="412" t="s">
        <v>1575</v>
      </c>
      <c r="H111" s="346" t="s">
        <v>638</v>
      </c>
      <c r="I111" s="279">
        <f>(215519)/1000*$I$5</f>
        <v>215.51900000000001</v>
      </c>
      <c r="J111" s="279">
        <f t="shared" si="2"/>
        <v>215.51900000000001</v>
      </c>
      <c r="K111" s="479" t="s">
        <v>2377</v>
      </c>
      <c r="L111" s="283"/>
    </row>
    <row r="112" spans="1:14" s="281" customFormat="1" ht="81.75" customHeight="1" x14ac:dyDescent="0.2">
      <c r="A112" s="391"/>
      <c r="B112" s="392" t="s">
        <v>308</v>
      </c>
      <c r="C112" s="382" t="s">
        <v>2523</v>
      </c>
      <c r="D112" s="479" t="s">
        <v>2526</v>
      </c>
      <c r="E112" s="489" t="s">
        <v>2527</v>
      </c>
      <c r="F112" s="480" t="s">
        <v>2524</v>
      </c>
      <c r="G112" s="412" t="s">
        <v>1636</v>
      </c>
      <c r="H112" s="346" t="s">
        <v>1643</v>
      </c>
      <c r="I112" s="301">
        <f>(2352941.18)/1000*$I$5</f>
        <v>2352.9411800000003</v>
      </c>
      <c r="J112" s="301">
        <f t="shared" si="2"/>
        <v>2352.9411800000003</v>
      </c>
      <c r="K112" s="479" t="s">
        <v>2525</v>
      </c>
      <c r="L112" s="283"/>
    </row>
    <row r="113" spans="1:12" ht="81.75" customHeight="1" x14ac:dyDescent="0.2">
      <c r="A113" s="237" t="s">
        <v>308</v>
      </c>
      <c r="B113" s="377" t="s">
        <v>2588</v>
      </c>
      <c r="C113" s="219" t="s">
        <v>338</v>
      </c>
      <c r="D113" s="230"/>
      <c r="E113" s="182"/>
      <c r="F113" s="464"/>
      <c r="G113" s="467"/>
      <c r="H113" s="467"/>
      <c r="I113" s="196">
        <f>(0)/1000*$I$5</f>
        <v>0</v>
      </c>
      <c r="J113" s="196">
        <f t="shared" si="1"/>
        <v>0</v>
      </c>
      <c r="K113" s="471"/>
      <c r="L113" s="231"/>
    </row>
    <row r="114" spans="1:12" ht="57" customHeight="1" x14ac:dyDescent="0.2">
      <c r="A114" s="56" t="s">
        <v>213</v>
      </c>
      <c r="B114" s="455" t="s">
        <v>323</v>
      </c>
      <c r="C114" s="470" t="s">
        <v>266</v>
      </c>
      <c r="D114" s="583" t="s">
        <v>1124</v>
      </c>
      <c r="E114" s="176" t="s">
        <v>1123</v>
      </c>
      <c r="F114" s="472" t="s">
        <v>1125</v>
      </c>
      <c r="G114" s="187" t="s">
        <v>174</v>
      </c>
      <c r="H114" s="187" t="s">
        <v>8</v>
      </c>
      <c r="I114" s="188">
        <f>(1935198.82/1.18)/1000*$I$5</f>
        <v>1639.9990000000003</v>
      </c>
      <c r="J114" s="188">
        <f t="shared" si="1"/>
        <v>1639.9990000000003</v>
      </c>
      <c r="K114" s="472" t="s">
        <v>128</v>
      </c>
      <c r="L114" s="59"/>
    </row>
    <row r="115" spans="1:12" ht="66" customHeight="1" x14ac:dyDescent="0.2">
      <c r="A115" s="56" t="s">
        <v>214</v>
      </c>
      <c r="B115" s="455" t="s">
        <v>324</v>
      </c>
      <c r="C115" s="470" t="s">
        <v>267</v>
      </c>
      <c r="D115" s="583"/>
      <c r="E115" s="176" t="s">
        <v>955</v>
      </c>
      <c r="F115" s="472" t="s">
        <v>1126</v>
      </c>
      <c r="G115" s="187" t="s">
        <v>46</v>
      </c>
      <c r="H115" s="187" t="s">
        <v>126</v>
      </c>
      <c r="I115" s="188">
        <f>(570000)/1000*$I$5</f>
        <v>570</v>
      </c>
      <c r="J115" s="188">
        <f t="shared" si="1"/>
        <v>570</v>
      </c>
      <c r="K115" s="472" t="s">
        <v>175</v>
      </c>
      <c r="L115" s="59"/>
    </row>
    <row r="116" spans="1:12" ht="60" x14ac:dyDescent="0.2">
      <c r="A116" s="56" t="s">
        <v>215</v>
      </c>
      <c r="B116" s="455" t="s">
        <v>325</v>
      </c>
      <c r="C116" s="470" t="s">
        <v>268</v>
      </c>
      <c r="D116" s="583" t="s">
        <v>1139</v>
      </c>
      <c r="E116" s="176" t="s">
        <v>956</v>
      </c>
      <c r="F116" s="472" t="s">
        <v>1127</v>
      </c>
      <c r="G116" s="187" t="s">
        <v>176</v>
      </c>
      <c r="H116" s="187" t="s">
        <v>176</v>
      </c>
      <c r="I116" s="188">
        <f>(259600/1.18)/1000*$I$5</f>
        <v>220</v>
      </c>
      <c r="J116" s="188">
        <f t="shared" si="1"/>
        <v>220</v>
      </c>
      <c r="K116" s="472" t="s">
        <v>128</v>
      </c>
      <c r="L116" s="59"/>
    </row>
    <row r="117" spans="1:12" ht="60" x14ac:dyDescent="0.2">
      <c r="A117" s="56" t="s">
        <v>216</v>
      </c>
      <c r="B117" s="455" t="s">
        <v>326</v>
      </c>
      <c r="C117" s="470" t="s">
        <v>269</v>
      </c>
      <c r="D117" s="583"/>
      <c r="E117" s="176" t="s">
        <v>957</v>
      </c>
      <c r="F117" s="472" t="s">
        <v>1128</v>
      </c>
      <c r="G117" s="187" t="s">
        <v>177</v>
      </c>
      <c r="H117" s="187" t="s">
        <v>177</v>
      </c>
      <c r="I117" s="188">
        <f>(218300/1.18)/1000*$I$5</f>
        <v>185</v>
      </c>
      <c r="J117" s="188">
        <f t="shared" si="1"/>
        <v>185</v>
      </c>
      <c r="K117" s="472" t="s">
        <v>128</v>
      </c>
      <c r="L117" s="59"/>
    </row>
    <row r="118" spans="1:12" ht="96" x14ac:dyDescent="0.2">
      <c r="A118" s="56" t="s">
        <v>217</v>
      </c>
      <c r="B118" s="455" t="s">
        <v>327</v>
      </c>
      <c r="C118" s="470" t="s">
        <v>270</v>
      </c>
      <c r="D118" s="232"/>
      <c r="E118" s="176" t="s">
        <v>958</v>
      </c>
      <c r="F118" s="472" t="s">
        <v>1129</v>
      </c>
      <c r="G118" s="187" t="s">
        <v>177</v>
      </c>
      <c r="H118" s="187" t="s">
        <v>54</v>
      </c>
      <c r="I118" s="188">
        <f>(390000)/1000*$I$5</f>
        <v>390</v>
      </c>
      <c r="J118" s="188">
        <f t="shared" si="1"/>
        <v>390</v>
      </c>
      <c r="K118" s="472" t="s">
        <v>175</v>
      </c>
      <c r="L118" s="59"/>
    </row>
    <row r="119" spans="1:12" ht="45" x14ac:dyDescent="0.2">
      <c r="A119" s="56" t="s">
        <v>309</v>
      </c>
      <c r="B119" s="455" t="s">
        <v>2589</v>
      </c>
      <c r="C119" s="470" t="s">
        <v>271</v>
      </c>
      <c r="D119" s="232"/>
      <c r="E119" s="176" t="s">
        <v>959</v>
      </c>
      <c r="F119" s="472" t="s">
        <v>1130</v>
      </c>
      <c r="G119" s="187" t="s">
        <v>12</v>
      </c>
      <c r="H119" s="187" t="s">
        <v>12</v>
      </c>
      <c r="I119" s="188">
        <f>(279660/1.18)/1000*$I$5</f>
        <v>237</v>
      </c>
      <c r="J119" s="188">
        <f t="shared" si="1"/>
        <v>237</v>
      </c>
      <c r="K119" s="472" t="s">
        <v>178</v>
      </c>
      <c r="L119" s="59"/>
    </row>
    <row r="120" spans="1:12" ht="45" x14ac:dyDescent="0.2">
      <c r="A120" s="56" t="s">
        <v>310</v>
      </c>
      <c r="B120" s="455" t="s">
        <v>2590</v>
      </c>
      <c r="C120" s="470" t="s">
        <v>272</v>
      </c>
      <c r="D120" s="232"/>
      <c r="E120" s="176" t="s">
        <v>960</v>
      </c>
      <c r="F120" s="472" t="s">
        <v>1131</v>
      </c>
      <c r="G120" s="187" t="s">
        <v>179</v>
      </c>
      <c r="H120" s="187" t="s">
        <v>52</v>
      </c>
      <c r="I120" s="188">
        <f>(731598.82/1.18)/1000*$I$5</f>
        <v>619.99900000000002</v>
      </c>
      <c r="J120" s="188">
        <f t="shared" si="1"/>
        <v>619.99900000000002</v>
      </c>
      <c r="K120" s="472" t="s">
        <v>178</v>
      </c>
      <c r="L120" s="59"/>
    </row>
    <row r="121" spans="1:12" ht="45" x14ac:dyDescent="0.2">
      <c r="A121" s="56" t="s">
        <v>311</v>
      </c>
      <c r="B121" s="455" t="s">
        <v>2591</v>
      </c>
      <c r="C121" s="470" t="s">
        <v>273</v>
      </c>
      <c r="D121" s="232"/>
      <c r="E121" s="176" t="s">
        <v>961</v>
      </c>
      <c r="F121" s="472" t="s">
        <v>1132</v>
      </c>
      <c r="G121" s="187" t="s">
        <v>181</v>
      </c>
      <c r="H121" s="187" t="s">
        <v>51</v>
      </c>
      <c r="I121" s="188">
        <f>(70800/1.18)/1000*$I$5</f>
        <v>60</v>
      </c>
      <c r="J121" s="188">
        <f t="shared" si="1"/>
        <v>60</v>
      </c>
      <c r="K121" s="472" t="s">
        <v>180</v>
      </c>
      <c r="L121" s="59"/>
    </row>
    <row r="122" spans="1:12" ht="72" x14ac:dyDescent="0.2">
      <c r="A122" s="56" t="s">
        <v>312</v>
      </c>
      <c r="B122" s="455" t="s">
        <v>2592</v>
      </c>
      <c r="C122" s="470" t="s">
        <v>1133</v>
      </c>
      <c r="D122" s="583" t="s">
        <v>1140</v>
      </c>
      <c r="E122" s="176" t="s">
        <v>962</v>
      </c>
      <c r="F122" s="472" t="s">
        <v>1134</v>
      </c>
      <c r="G122" s="187" t="s">
        <v>56</v>
      </c>
      <c r="H122" s="187" t="s">
        <v>129</v>
      </c>
      <c r="I122" s="188">
        <f>(300000)/1000*$I$5</f>
        <v>300</v>
      </c>
      <c r="J122" s="188">
        <f t="shared" si="1"/>
        <v>300</v>
      </c>
      <c r="K122" s="472" t="s">
        <v>178</v>
      </c>
      <c r="L122" s="59"/>
    </row>
    <row r="123" spans="1:12" ht="84" x14ac:dyDescent="0.2">
      <c r="A123" s="56" t="s">
        <v>313</v>
      </c>
      <c r="B123" s="455" t="s">
        <v>2593</v>
      </c>
      <c r="C123" s="470" t="s">
        <v>275</v>
      </c>
      <c r="D123" s="583"/>
      <c r="E123" s="176" t="s">
        <v>963</v>
      </c>
      <c r="F123" s="472" t="s">
        <v>1135</v>
      </c>
      <c r="G123" s="187" t="s">
        <v>56</v>
      </c>
      <c r="H123" s="187" t="s">
        <v>52</v>
      </c>
      <c r="I123" s="188">
        <f>(780000)/1000*$I$5</f>
        <v>780</v>
      </c>
      <c r="J123" s="188">
        <f t="shared" si="1"/>
        <v>780</v>
      </c>
      <c r="K123" s="472" t="s">
        <v>175</v>
      </c>
      <c r="L123" s="59"/>
    </row>
    <row r="124" spans="1:12" ht="33.75" x14ac:dyDescent="0.2">
      <c r="A124" s="56" t="s">
        <v>314</v>
      </c>
      <c r="B124" s="455" t="s">
        <v>2594</v>
      </c>
      <c r="C124" s="470" t="s">
        <v>276</v>
      </c>
      <c r="D124" s="191"/>
      <c r="E124" s="176" t="s">
        <v>964</v>
      </c>
      <c r="F124" s="472" t="s">
        <v>276</v>
      </c>
      <c r="G124" s="187" t="s">
        <v>132</v>
      </c>
      <c r="H124" s="187" t="s">
        <v>7</v>
      </c>
      <c r="I124" s="188">
        <f>(2285000)/1000*$I$5</f>
        <v>2285</v>
      </c>
      <c r="J124" s="188">
        <f t="shared" si="1"/>
        <v>2285</v>
      </c>
      <c r="K124" s="472" t="s">
        <v>182</v>
      </c>
      <c r="L124" s="59"/>
    </row>
    <row r="125" spans="1:12" ht="52.5" customHeight="1" x14ac:dyDescent="0.2">
      <c r="A125" s="56" t="s">
        <v>315</v>
      </c>
      <c r="B125" s="455" t="s">
        <v>2595</v>
      </c>
      <c r="C125" s="470" t="s">
        <v>277</v>
      </c>
      <c r="D125" s="583" t="s">
        <v>1141</v>
      </c>
      <c r="E125" s="176" t="s">
        <v>965</v>
      </c>
      <c r="F125" s="472" t="s">
        <v>1142</v>
      </c>
      <c r="G125" s="187" t="s">
        <v>4</v>
      </c>
      <c r="H125" s="187" t="s">
        <v>14</v>
      </c>
      <c r="I125" s="188">
        <f>(7400000)/1000*$I$5</f>
        <v>7400</v>
      </c>
      <c r="J125" s="188">
        <f>I125-(3960545+263553)/1000*$I$5</f>
        <v>3175.902</v>
      </c>
      <c r="K125" s="472" t="s">
        <v>136</v>
      </c>
      <c r="L125" s="59"/>
    </row>
    <row r="126" spans="1:12" ht="33.75" x14ac:dyDescent="0.2">
      <c r="A126" s="56" t="s">
        <v>316</v>
      </c>
      <c r="B126" s="455" t="s">
        <v>2596</v>
      </c>
      <c r="C126" s="470" t="s">
        <v>278</v>
      </c>
      <c r="D126" s="583"/>
      <c r="E126" s="176" t="s">
        <v>966</v>
      </c>
      <c r="F126" s="470" t="s">
        <v>278</v>
      </c>
      <c r="G126" s="187" t="s">
        <v>24</v>
      </c>
      <c r="H126" s="187" t="s">
        <v>95</v>
      </c>
      <c r="I126" s="188">
        <f>(1949000)/1000*$I$5</f>
        <v>1949</v>
      </c>
      <c r="J126" s="188">
        <f t="shared" si="1"/>
        <v>1949</v>
      </c>
      <c r="K126" s="472" t="s">
        <v>182</v>
      </c>
      <c r="L126" s="59"/>
    </row>
    <row r="127" spans="1:12" ht="36" x14ac:dyDescent="0.2">
      <c r="A127" s="56" t="s">
        <v>317</v>
      </c>
      <c r="B127" s="455" t="s">
        <v>2597</v>
      </c>
      <c r="C127" s="470" t="s">
        <v>279</v>
      </c>
      <c r="D127" s="583"/>
      <c r="E127" s="176" t="s">
        <v>967</v>
      </c>
      <c r="F127" s="472" t="s">
        <v>1143</v>
      </c>
      <c r="G127" s="187" t="s">
        <v>91</v>
      </c>
      <c r="H127" s="187" t="s">
        <v>93</v>
      </c>
      <c r="I127" s="188">
        <f>(460000)/1000*$I$5</f>
        <v>460</v>
      </c>
      <c r="J127" s="188">
        <f t="shared" si="1"/>
        <v>460</v>
      </c>
      <c r="K127" s="472" t="s">
        <v>182</v>
      </c>
      <c r="L127" s="59"/>
    </row>
    <row r="128" spans="1:12" ht="66" customHeight="1" x14ac:dyDescent="0.2">
      <c r="A128" s="56" t="s">
        <v>318</v>
      </c>
      <c r="B128" s="455" t="s">
        <v>2598</v>
      </c>
      <c r="C128" s="470" t="s">
        <v>280</v>
      </c>
      <c r="D128" s="191"/>
      <c r="E128" s="176" t="s">
        <v>968</v>
      </c>
      <c r="F128" s="472" t="s">
        <v>1144</v>
      </c>
      <c r="G128" s="187" t="s">
        <v>137</v>
      </c>
      <c r="H128" s="187" t="s">
        <v>139</v>
      </c>
      <c r="I128" s="188">
        <f>(777278)/1000*$I$5</f>
        <v>777.27800000000002</v>
      </c>
      <c r="J128" s="188">
        <f>I128-(98229)/1000*$I$5</f>
        <v>679.04899999999998</v>
      </c>
      <c r="K128" s="472" t="s">
        <v>183</v>
      </c>
      <c r="L128" s="59"/>
    </row>
    <row r="129" spans="1:12" ht="72" x14ac:dyDescent="0.2">
      <c r="A129" s="56" t="s">
        <v>319</v>
      </c>
      <c r="B129" s="455" t="s">
        <v>2599</v>
      </c>
      <c r="C129" s="470" t="s">
        <v>1147</v>
      </c>
      <c r="D129" s="191"/>
      <c r="E129" s="176" t="s">
        <v>969</v>
      </c>
      <c r="F129" s="472" t="s">
        <v>1145</v>
      </c>
      <c r="G129" s="187" t="s">
        <v>137</v>
      </c>
      <c r="H129" s="187" t="s">
        <v>139</v>
      </c>
      <c r="I129" s="188">
        <f>(956000)/1000*$I$5</f>
        <v>956</v>
      </c>
      <c r="J129" s="188">
        <f>I129-(341273)/1000*$I$5</f>
        <v>614.72699999999998</v>
      </c>
      <c r="K129" s="472" t="s">
        <v>183</v>
      </c>
      <c r="L129" s="59"/>
    </row>
    <row r="130" spans="1:12" ht="72" x14ac:dyDescent="0.2">
      <c r="A130" s="56" t="s">
        <v>320</v>
      </c>
      <c r="B130" s="455" t="s">
        <v>2600</v>
      </c>
      <c r="C130" s="470" t="s">
        <v>1148</v>
      </c>
      <c r="D130" s="191"/>
      <c r="E130" s="176" t="s">
        <v>970</v>
      </c>
      <c r="F130" s="472" t="s">
        <v>1146</v>
      </c>
      <c r="G130" s="187" t="s">
        <v>137</v>
      </c>
      <c r="H130" s="187" t="s">
        <v>139</v>
      </c>
      <c r="I130" s="188">
        <f>(790000)/1000*$I$5</f>
        <v>790</v>
      </c>
      <c r="J130" s="188">
        <f>I130-(222000)/1000*$I$5</f>
        <v>568</v>
      </c>
      <c r="K130" s="472" t="s">
        <v>183</v>
      </c>
      <c r="L130" s="59"/>
    </row>
    <row r="131" spans="1:12" ht="48.75" customHeight="1" x14ac:dyDescent="0.2">
      <c r="A131" s="56" t="s">
        <v>321</v>
      </c>
      <c r="B131" s="455" t="s">
        <v>2601</v>
      </c>
      <c r="C131" s="470" t="s">
        <v>1149</v>
      </c>
      <c r="D131" s="583" t="s">
        <v>1541</v>
      </c>
      <c r="E131" s="176" t="s">
        <v>971</v>
      </c>
      <c r="F131" s="470" t="s">
        <v>1149</v>
      </c>
      <c r="G131" s="187" t="s">
        <v>16</v>
      </c>
      <c r="H131" s="187" t="s">
        <v>11</v>
      </c>
      <c r="I131" s="188">
        <f>(333000)/1000*$I$5</f>
        <v>333</v>
      </c>
      <c r="J131" s="188">
        <f t="shared" si="1"/>
        <v>333</v>
      </c>
      <c r="K131" s="472" t="s">
        <v>182</v>
      </c>
      <c r="L131" s="59"/>
    </row>
    <row r="132" spans="1:12" ht="52.5" customHeight="1" x14ac:dyDescent="0.2">
      <c r="A132" s="56" t="s">
        <v>322</v>
      </c>
      <c r="B132" s="455" t="s">
        <v>2602</v>
      </c>
      <c r="C132" s="470" t="s">
        <v>284</v>
      </c>
      <c r="D132" s="583"/>
      <c r="E132" s="176" t="s">
        <v>1153</v>
      </c>
      <c r="F132" s="472" t="s">
        <v>284</v>
      </c>
      <c r="G132" s="187" t="s">
        <v>107</v>
      </c>
      <c r="H132" s="187" t="s">
        <v>11</v>
      </c>
      <c r="I132" s="188">
        <f>(1356000)/1000*$I$5</f>
        <v>1356</v>
      </c>
      <c r="J132" s="188">
        <f t="shared" si="1"/>
        <v>1356</v>
      </c>
      <c r="K132" s="473" t="s">
        <v>182</v>
      </c>
      <c r="L132" s="228"/>
    </row>
    <row r="133" spans="1:12" s="281" customFormat="1" ht="52.5" customHeight="1" x14ac:dyDescent="0.2">
      <c r="A133" s="455"/>
      <c r="B133" s="455" t="s">
        <v>2603</v>
      </c>
      <c r="C133" s="483" t="s">
        <v>1543</v>
      </c>
      <c r="D133" s="479"/>
      <c r="E133" s="488" t="s">
        <v>1544</v>
      </c>
      <c r="F133" s="483" t="s">
        <v>1542</v>
      </c>
      <c r="G133" s="455" t="s">
        <v>21</v>
      </c>
      <c r="H133" s="455" t="s">
        <v>63</v>
      </c>
      <c r="I133" s="279">
        <f>(1300000)/1000*$I$5</f>
        <v>1300</v>
      </c>
      <c r="J133" s="279">
        <f t="shared" si="1"/>
        <v>1300</v>
      </c>
      <c r="K133" s="479"/>
      <c r="L133" s="283"/>
    </row>
    <row r="134" spans="1:12" s="281" customFormat="1" ht="52.5" customHeight="1" x14ac:dyDescent="0.2">
      <c r="A134" s="455"/>
      <c r="B134" s="455" t="s">
        <v>2604</v>
      </c>
      <c r="C134" s="483" t="s">
        <v>1546</v>
      </c>
      <c r="D134" s="479"/>
      <c r="E134" s="488" t="s">
        <v>1547</v>
      </c>
      <c r="F134" s="483" t="s">
        <v>1545</v>
      </c>
      <c r="G134" s="455" t="s">
        <v>21</v>
      </c>
      <c r="H134" s="455" t="s">
        <v>598</v>
      </c>
      <c r="I134" s="279">
        <f>(1708991)/1000*$I$5</f>
        <v>1708.991</v>
      </c>
      <c r="J134" s="279">
        <f t="shared" si="1"/>
        <v>1708.991</v>
      </c>
      <c r="K134" s="479"/>
      <c r="L134" s="283"/>
    </row>
    <row r="135" spans="1:12" s="281" customFormat="1" ht="73.5" customHeight="1" x14ac:dyDescent="0.2">
      <c r="A135" s="455"/>
      <c r="B135" s="455" t="s">
        <v>2605</v>
      </c>
      <c r="C135" s="483" t="s">
        <v>1548</v>
      </c>
      <c r="D135" s="479"/>
      <c r="E135" s="488" t="s">
        <v>1550</v>
      </c>
      <c r="F135" s="483" t="s">
        <v>1549</v>
      </c>
      <c r="G135" s="455" t="s">
        <v>18</v>
      </c>
      <c r="H135" s="455" t="s">
        <v>19</v>
      </c>
      <c r="I135" s="279">
        <f>(107700)/1000*$I$5</f>
        <v>107.7</v>
      </c>
      <c r="J135" s="279">
        <f t="shared" si="1"/>
        <v>107.7</v>
      </c>
      <c r="K135" s="479"/>
      <c r="L135" s="283"/>
    </row>
    <row r="136" spans="1:12" s="281" customFormat="1" ht="73.5" customHeight="1" x14ac:dyDescent="0.2">
      <c r="A136" s="455"/>
      <c r="B136" s="455" t="s">
        <v>2606</v>
      </c>
      <c r="C136" s="483" t="s">
        <v>1552</v>
      </c>
      <c r="D136" s="479"/>
      <c r="E136" s="488" t="s">
        <v>1551</v>
      </c>
      <c r="F136" s="483" t="s">
        <v>1703</v>
      </c>
      <c r="G136" s="455" t="s">
        <v>63</v>
      </c>
      <c r="H136" s="455" t="s">
        <v>15</v>
      </c>
      <c r="I136" s="279">
        <f>(782051)/1000*$I$5</f>
        <v>782.05100000000004</v>
      </c>
      <c r="J136" s="279">
        <f t="shared" si="1"/>
        <v>782.05100000000004</v>
      </c>
      <c r="K136" s="479"/>
      <c r="L136" s="283"/>
    </row>
    <row r="137" spans="1:12" s="281" customFormat="1" ht="75.75" customHeight="1" x14ac:dyDescent="0.2">
      <c r="A137" s="455"/>
      <c r="B137" s="455" t="s">
        <v>2607</v>
      </c>
      <c r="C137" s="483" t="s">
        <v>1555</v>
      </c>
      <c r="D137" s="479"/>
      <c r="E137" s="488" t="s">
        <v>1553</v>
      </c>
      <c r="F137" s="483" t="s">
        <v>1556</v>
      </c>
      <c r="G137" s="455" t="s">
        <v>1554</v>
      </c>
      <c r="H137" s="455" t="s">
        <v>15</v>
      </c>
      <c r="I137" s="279">
        <f>(3081392)/1000*$I$5</f>
        <v>3081.3919999999998</v>
      </c>
      <c r="J137" s="279">
        <f t="shared" si="1"/>
        <v>3081.3919999999998</v>
      </c>
      <c r="K137" s="479"/>
      <c r="L137" s="283"/>
    </row>
    <row r="138" spans="1:12" s="281" customFormat="1" ht="40.5" customHeight="1" x14ac:dyDescent="0.2">
      <c r="A138" s="455"/>
      <c r="B138" s="455" t="s">
        <v>2608</v>
      </c>
      <c r="C138" s="483" t="s">
        <v>1557</v>
      </c>
      <c r="D138" s="479"/>
      <c r="E138" s="488" t="s">
        <v>1558</v>
      </c>
      <c r="F138" s="483" t="s">
        <v>1557</v>
      </c>
      <c r="G138" s="455" t="s">
        <v>598</v>
      </c>
      <c r="H138" s="455" t="s">
        <v>1559</v>
      </c>
      <c r="I138" s="279">
        <f>(133000)/1000*$I$5</f>
        <v>133</v>
      </c>
      <c r="J138" s="279">
        <f t="shared" si="1"/>
        <v>133</v>
      </c>
      <c r="K138" s="479"/>
      <c r="L138" s="283"/>
    </row>
    <row r="139" spans="1:12" s="281" customFormat="1" ht="36" x14ac:dyDescent="0.2">
      <c r="A139" s="455"/>
      <c r="B139" s="455" t="s">
        <v>2609</v>
      </c>
      <c r="C139" s="483" t="s">
        <v>1560</v>
      </c>
      <c r="D139" s="479"/>
      <c r="E139" s="488" t="s">
        <v>1562</v>
      </c>
      <c r="F139" s="483" t="s">
        <v>1561</v>
      </c>
      <c r="G139" s="455" t="s">
        <v>1559</v>
      </c>
      <c r="H139" s="455" t="s">
        <v>1559</v>
      </c>
      <c r="I139" s="279">
        <f>(418891)/1000*$I$5</f>
        <v>418.89100000000002</v>
      </c>
      <c r="J139" s="279">
        <f t="shared" si="1"/>
        <v>418.89100000000002</v>
      </c>
      <c r="K139" s="479"/>
      <c r="L139" s="283"/>
    </row>
    <row r="140" spans="1:12" s="281" customFormat="1" ht="45.75" customHeight="1" x14ac:dyDescent="0.2">
      <c r="A140" s="455"/>
      <c r="B140" s="455" t="s">
        <v>2610</v>
      </c>
      <c r="C140" s="483" t="s">
        <v>1689</v>
      </c>
      <c r="D140" s="479"/>
      <c r="E140" s="488" t="s">
        <v>1690</v>
      </c>
      <c r="F140" s="483" t="s">
        <v>1691</v>
      </c>
      <c r="G140" s="455" t="s">
        <v>1559</v>
      </c>
      <c r="H140" s="455" t="s">
        <v>1559</v>
      </c>
      <c r="I140" s="279">
        <f>(396260)/1000*$I$5</f>
        <v>396.26</v>
      </c>
      <c r="J140" s="279">
        <f t="shared" si="1"/>
        <v>396.26</v>
      </c>
      <c r="K140" s="479"/>
      <c r="L140" s="283"/>
    </row>
    <row r="141" spans="1:12" s="281" customFormat="1" ht="48" x14ac:dyDescent="0.2">
      <c r="A141" s="455"/>
      <c r="B141" s="455" t="s">
        <v>2611</v>
      </c>
      <c r="C141" s="483" t="s">
        <v>1564</v>
      </c>
      <c r="D141" s="479"/>
      <c r="E141" s="488" t="s">
        <v>1565</v>
      </c>
      <c r="F141" s="483" t="s">
        <v>1563</v>
      </c>
      <c r="G141" s="455" t="s">
        <v>1559</v>
      </c>
      <c r="H141" s="455" t="s">
        <v>638</v>
      </c>
      <c r="I141" s="279">
        <f>(576911)/1000*$I$5</f>
        <v>576.91099999999994</v>
      </c>
      <c r="J141" s="279">
        <f t="shared" si="1"/>
        <v>576.91099999999994</v>
      </c>
      <c r="K141" s="479"/>
      <c r="L141" s="283"/>
    </row>
    <row r="142" spans="1:12" s="281" customFormat="1" ht="36" x14ac:dyDescent="0.2">
      <c r="A142" s="455"/>
      <c r="B142" s="455" t="s">
        <v>2612</v>
      </c>
      <c r="C142" s="483" t="s">
        <v>1568</v>
      </c>
      <c r="D142" s="479"/>
      <c r="E142" s="488" t="s">
        <v>1567</v>
      </c>
      <c r="F142" s="483" t="s">
        <v>1566</v>
      </c>
      <c r="G142" s="455" t="s">
        <v>613</v>
      </c>
      <c r="H142" s="455" t="s">
        <v>1520</v>
      </c>
      <c r="I142" s="279">
        <f>(2200000)/1000*$I$5</f>
        <v>2200</v>
      </c>
      <c r="J142" s="279">
        <f t="shared" si="1"/>
        <v>2200</v>
      </c>
      <c r="K142" s="479"/>
      <c r="L142" s="283"/>
    </row>
    <row r="143" spans="1:12" s="281" customFormat="1" ht="36" x14ac:dyDescent="0.2">
      <c r="A143" s="455"/>
      <c r="B143" s="455" t="s">
        <v>2613</v>
      </c>
      <c r="C143" s="483" t="s">
        <v>1570</v>
      </c>
      <c r="D143" s="479"/>
      <c r="E143" s="488" t="s">
        <v>1569</v>
      </c>
      <c r="F143" s="483" t="s">
        <v>1571</v>
      </c>
      <c r="G143" s="455" t="s">
        <v>20</v>
      </c>
      <c r="H143" s="455" t="s">
        <v>63</v>
      </c>
      <c r="I143" s="279">
        <f>(255000)/1000*$I$5</f>
        <v>255</v>
      </c>
      <c r="J143" s="279">
        <f t="shared" si="1"/>
        <v>255</v>
      </c>
      <c r="K143" s="479"/>
      <c r="L143" s="283"/>
    </row>
    <row r="144" spans="1:12" s="281" customFormat="1" ht="48" x14ac:dyDescent="0.2">
      <c r="A144" s="455"/>
      <c r="B144" s="455" t="s">
        <v>2614</v>
      </c>
      <c r="C144" s="483" t="s">
        <v>1573</v>
      </c>
      <c r="D144" s="479"/>
      <c r="E144" s="488" t="s">
        <v>1572</v>
      </c>
      <c r="F144" s="483" t="s">
        <v>1574</v>
      </c>
      <c r="G144" s="455" t="s">
        <v>872</v>
      </c>
      <c r="H144" s="455" t="s">
        <v>1575</v>
      </c>
      <c r="I144" s="279">
        <f>(744462)/1000*$I$5</f>
        <v>744.46199999999999</v>
      </c>
      <c r="J144" s="279">
        <f t="shared" si="1"/>
        <v>744.46199999999999</v>
      </c>
      <c r="K144" s="479"/>
      <c r="L144" s="283"/>
    </row>
    <row r="145" spans="1:12" s="281" customFormat="1" ht="33.75" x14ac:dyDescent="0.2">
      <c r="A145" s="455"/>
      <c r="B145" s="455" t="s">
        <v>2615</v>
      </c>
      <c r="C145" s="483" t="s">
        <v>1578</v>
      </c>
      <c r="D145" s="479"/>
      <c r="E145" s="488" t="s">
        <v>1576</v>
      </c>
      <c r="F145" s="483" t="s">
        <v>1577</v>
      </c>
      <c r="G145" s="455" t="s">
        <v>872</v>
      </c>
      <c r="H145" s="455" t="s">
        <v>1579</v>
      </c>
      <c r="I145" s="279">
        <f>(125860)/1000*$I$5</f>
        <v>125.86</v>
      </c>
      <c r="J145" s="279">
        <f t="shared" si="1"/>
        <v>125.86</v>
      </c>
      <c r="K145" s="479"/>
      <c r="L145" s="283"/>
    </row>
    <row r="146" spans="1:12" ht="30.75" customHeight="1" x14ac:dyDescent="0.2">
      <c r="A146" s="233" t="s">
        <v>212</v>
      </c>
      <c r="B146" s="376" t="s">
        <v>328</v>
      </c>
      <c r="C146" s="239" t="s">
        <v>285</v>
      </c>
      <c r="D146" s="582" t="s">
        <v>1150</v>
      </c>
      <c r="E146" s="182"/>
      <c r="F146" s="464"/>
      <c r="G146" s="467"/>
      <c r="H146" s="467"/>
      <c r="I146" s="196">
        <f>(0)/1000*$I$5</f>
        <v>0</v>
      </c>
      <c r="J146" s="196">
        <f t="shared" si="1"/>
        <v>0</v>
      </c>
      <c r="K146" s="471"/>
      <c r="L146" s="231"/>
    </row>
    <row r="147" spans="1:12" ht="60" x14ac:dyDescent="0.2">
      <c r="A147" s="56" t="s">
        <v>323</v>
      </c>
      <c r="B147" s="455" t="s">
        <v>329</v>
      </c>
      <c r="C147" s="470" t="s">
        <v>1151</v>
      </c>
      <c r="D147" s="583"/>
      <c r="E147" s="176" t="s">
        <v>973</v>
      </c>
      <c r="F147" s="472" t="s">
        <v>1152</v>
      </c>
      <c r="G147" s="187" t="s">
        <v>60</v>
      </c>
      <c r="H147" s="187" t="s">
        <v>9</v>
      </c>
      <c r="I147" s="188">
        <f>(2597207)/1000*$I$5</f>
        <v>2597.2069999999999</v>
      </c>
      <c r="J147" s="188">
        <f t="shared" si="1"/>
        <v>2597.2069999999999</v>
      </c>
      <c r="K147" s="472" t="s">
        <v>210</v>
      </c>
      <c r="L147" s="59"/>
    </row>
    <row r="148" spans="1:12" ht="36" x14ac:dyDescent="0.2">
      <c r="A148" s="56" t="s">
        <v>324</v>
      </c>
      <c r="B148" s="455" t="s">
        <v>2616</v>
      </c>
      <c r="C148" s="470" t="s">
        <v>287</v>
      </c>
      <c r="D148" s="583"/>
      <c r="E148" s="176" t="s">
        <v>974</v>
      </c>
      <c r="F148" s="470" t="s">
        <v>287</v>
      </c>
      <c r="G148" s="187" t="s">
        <v>211</v>
      </c>
      <c r="H148" s="187" t="s">
        <v>11</v>
      </c>
      <c r="I148" s="188">
        <f>(4745324)/1000*$I$5</f>
        <v>4745.3239999999996</v>
      </c>
      <c r="J148" s="188">
        <f t="shared" si="1"/>
        <v>4745.3239999999996</v>
      </c>
      <c r="K148" s="472" t="s">
        <v>182</v>
      </c>
      <c r="L148" s="59"/>
    </row>
    <row r="149" spans="1:12" ht="33.75" x14ac:dyDescent="0.2">
      <c r="A149" s="56" t="s">
        <v>325</v>
      </c>
      <c r="B149" s="455" t="s">
        <v>2617</v>
      </c>
      <c r="C149" s="470" t="s">
        <v>288</v>
      </c>
      <c r="D149" s="583"/>
      <c r="E149" s="176" t="s">
        <v>975</v>
      </c>
      <c r="F149" s="470" t="s">
        <v>288</v>
      </c>
      <c r="G149" s="187" t="s">
        <v>211</v>
      </c>
      <c r="H149" s="187" t="s">
        <v>11</v>
      </c>
      <c r="I149" s="188">
        <f>(2553018)/1000*$I$5</f>
        <v>2553.018</v>
      </c>
      <c r="J149" s="188">
        <f t="shared" si="1"/>
        <v>2553.018</v>
      </c>
      <c r="K149" s="472" t="s">
        <v>182</v>
      </c>
      <c r="L149" s="59"/>
    </row>
    <row r="150" spans="1:12" ht="48" x14ac:dyDescent="0.2">
      <c r="A150" s="56" t="s">
        <v>326</v>
      </c>
      <c r="B150" s="455" t="s">
        <v>2618</v>
      </c>
      <c r="C150" s="470" t="s">
        <v>339</v>
      </c>
      <c r="D150" s="583"/>
      <c r="E150" s="176" t="s">
        <v>976</v>
      </c>
      <c r="F150" s="470" t="s">
        <v>339</v>
      </c>
      <c r="G150" s="187" t="s">
        <v>211</v>
      </c>
      <c r="H150" s="187" t="s">
        <v>11</v>
      </c>
      <c r="I150" s="188">
        <f>(500000)/1000*$I$5</f>
        <v>500</v>
      </c>
      <c r="J150" s="188">
        <f t="shared" si="1"/>
        <v>500</v>
      </c>
      <c r="K150" s="472" t="s">
        <v>182</v>
      </c>
      <c r="L150" s="59"/>
    </row>
    <row r="151" spans="1:12" ht="46.5" customHeight="1" x14ac:dyDescent="0.2">
      <c r="A151" s="56" t="s">
        <v>327</v>
      </c>
      <c r="B151" s="455" t="s">
        <v>2619</v>
      </c>
      <c r="C151" s="470" t="s">
        <v>289</v>
      </c>
      <c r="D151" s="191"/>
      <c r="E151" s="176" t="s">
        <v>977</v>
      </c>
      <c r="F151" s="470" t="s">
        <v>289</v>
      </c>
      <c r="G151" s="187" t="s">
        <v>16</v>
      </c>
      <c r="H151" s="187" t="s">
        <v>107</v>
      </c>
      <c r="I151" s="188">
        <f>(299973)/1000*$I$5</f>
        <v>299.97300000000001</v>
      </c>
      <c r="J151" s="188">
        <f t="shared" ref="J151:J157" si="3">I151-(0)/1000*$I$5</f>
        <v>299.97300000000001</v>
      </c>
      <c r="K151" s="472" t="s">
        <v>182</v>
      </c>
      <c r="L151" s="59"/>
    </row>
    <row r="152" spans="1:12" ht="39.75" customHeight="1" x14ac:dyDescent="0.2">
      <c r="A152" s="233" t="s">
        <v>328</v>
      </c>
      <c r="B152" s="376" t="s">
        <v>330</v>
      </c>
      <c r="C152" s="239" t="s">
        <v>291</v>
      </c>
      <c r="D152" s="582" t="s">
        <v>1158</v>
      </c>
      <c r="E152" s="182"/>
      <c r="F152" s="464"/>
      <c r="G152" s="467"/>
      <c r="H152" s="467"/>
      <c r="I152" s="196">
        <f>(0)/1000*$I$5</f>
        <v>0</v>
      </c>
      <c r="J152" s="196">
        <f t="shared" si="3"/>
        <v>0</v>
      </c>
      <c r="K152" s="471"/>
      <c r="L152" s="231"/>
    </row>
    <row r="153" spans="1:12" ht="78" customHeight="1" x14ac:dyDescent="0.2">
      <c r="A153" s="56" t="s">
        <v>329</v>
      </c>
      <c r="B153" s="455"/>
      <c r="C153" s="470" t="s">
        <v>1154</v>
      </c>
      <c r="D153" s="584"/>
      <c r="E153" s="181" t="s">
        <v>978</v>
      </c>
      <c r="F153" s="473" t="s">
        <v>1155</v>
      </c>
      <c r="G153" s="468" t="s">
        <v>104</v>
      </c>
      <c r="H153" s="240" t="s">
        <v>62</v>
      </c>
      <c r="I153" s="193">
        <f>(485000)/1000*$I$5</f>
        <v>485</v>
      </c>
      <c r="J153" s="193">
        <f t="shared" si="3"/>
        <v>485</v>
      </c>
      <c r="K153" s="472" t="s">
        <v>669</v>
      </c>
      <c r="L153" s="59"/>
    </row>
    <row r="154" spans="1:12" ht="48" customHeight="1" x14ac:dyDescent="0.2">
      <c r="A154" s="241" t="s">
        <v>330</v>
      </c>
      <c r="B154" s="378" t="s">
        <v>356</v>
      </c>
      <c r="C154" s="239" t="s">
        <v>342</v>
      </c>
      <c r="D154" s="582" t="s">
        <v>1157</v>
      </c>
      <c r="E154" s="176"/>
      <c r="F154" s="465"/>
      <c r="G154" s="187"/>
      <c r="H154" s="187"/>
      <c r="I154" s="188">
        <f>(0)/1000*$I$5</f>
        <v>0</v>
      </c>
      <c r="J154" s="188">
        <f t="shared" si="3"/>
        <v>0</v>
      </c>
      <c r="K154" s="471"/>
      <c r="L154" s="231"/>
    </row>
    <row r="155" spans="1:12" ht="80.25" customHeight="1" x14ac:dyDescent="0.2">
      <c r="A155" s="56" t="s">
        <v>331</v>
      </c>
      <c r="B155" s="455" t="s">
        <v>357</v>
      </c>
      <c r="C155" s="470" t="s">
        <v>292</v>
      </c>
      <c r="D155" s="583"/>
      <c r="E155" s="176" t="s">
        <v>979</v>
      </c>
      <c r="F155" s="470" t="s">
        <v>1704</v>
      </c>
      <c r="G155" s="187" t="s">
        <v>181</v>
      </c>
      <c r="H155" s="187" t="s">
        <v>54</v>
      </c>
      <c r="I155" s="188">
        <f>(689928.84)/1000*$I$5</f>
        <v>689.92883999999992</v>
      </c>
      <c r="J155" s="188">
        <f t="shared" si="3"/>
        <v>689.92883999999992</v>
      </c>
      <c r="K155" s="472" t="s">
        <v>219</v>
      </c>
      <c r="L155" s="59"/>
    </row>
    <row r="156" spans="1:12" ht="67.5" customHeight="1" x14ac:dyDescent="0.2">
      <c r="A156" s="56" t="s">
        <v>332</v>
      </c>
      <c r="B156" s="455" t="s">
        <v>360</v>
      </c>
      <c r="C156" s="470" t="s">
        <v>293</v>
      </c>
      <c r="D156" s="583"/>
      <c r="E156" s="176" t="s">
        <v>980</v>
      </c>
      <c r="F156" s="470" t="s">
        <v>1589</v>
      </c>
      <c r="G156" s="187" t="s">
        <v>181</v>
      </c>
      <c r="H156" s="187" t="s">
        <v>54</v>
      </c>
      <c r="I156" s="188">
        <f>(669986.7)/1000*$I$5</f>
        <v>669.98669999999993</v>
      </c>
      <c r="J156" s="188">
        <f t="shared" si="3"/>
        <v>669.98669999999993</v>
      </c>
      <c r="K156" s="473" t="s">
        <v>670</v>
      </c>
      <c r="L156" s="228"/>
    </row>
    <row r="157" spans="1:12" s="281" customFormat="1" ht="67.5" customHeight="1" x14ac:dyDescent="0.2">
      <c r="A157" s="455"/>
      <c r="B157" s="455" t="s">
        <v>366</v>
      </c>
      <c r="C157" s="287" t="s">
        <v>1582</v>
      </c>
      <c r="D157" s="630" t="s">
        <v>1581</v>
      </c>
      <c r="E157" s="288" t="s">
        <v>1580</v>
      </c>
      <c r="F157" s="289" t="s">
        <v>1582</v>
      </c>
      <c r="G157" s="290" t="s">
        <v>20</v>
      </c>
      <c r="H157" s="455" t="s">
        <v>15</v>
      </c>
      <c r="I157" s="279">
        <f>(1679909)/1000*$I$5</f>
        <v>1679.9090000000001</v>
      </c>
      <c r="J157" s="279">
        <f t="shared" si="3"/>
        <v>1679.9090000000001</v>
      </c>
      <c r="K157" s="479"/>
      <c r="L157" s="283"/>
    </row>
    <row r="158" spans="1:12" s="281" customFormat="1" ht="67.5" customHeight="1" x14ac:dyDescent="0.2">
      <c r="A158" s="455"/>
      <c r="B158" s="455" t="s">
        <v>1167</v>
      </c>
      <c r="C158" s="287" t="s">
        <v>1584</v>
      </c>
      <c r="D158" s="630"/>
      <c r="E158" s="288" t="s">
        <v>1583</v>
      </c>
      <c r="F158" s="289" t="s">
        <v>1585</v>
      </c>
      <c r="G158" s="290" t="s">
        <v>63</v>
      </c>
      <c r="H158" s="455" t="s">
        <v>1586</v>
      </c>
      <c r="I158" s="279">
        <f>(2625060)/1000*$I$5</f>
        <v>2625.06</v>
      </c>
      <c r="J158" s="279">
        <f>I158-(1755454)/1000*$I$5</f>
        <v>869.60599999999999</v>
      </c>
      <c r="K158" s="479"/>
      <c r="L158" s="283"/>
    </row>
    <row r="159" spans="1:12" s="281" customFormat="1" ht="67.5" customHeight="1" x14ac:dyDescent="0.2">
      <c r="A159" s="455"/>
      <c r="B159" s="455" t="s">
        <v>1168</v>
      </c>
      <c r="C159" s="287" t="s">
        <v>1588</v>
      </c>
      <c r="D159" s="479"/>
      <c r="E159" s="288" t="s">
        <v>1587</v>
      </c>
      <c r="F159" s="289" t="s">
        <v>2983</v>
      </c>
      <c r="G159" s="290" t="s">
        <v>1591</v>
      </c>
      <c r="H159" s="455" t="s">
        <v>872</v>
      </c>
      <c r="I159" s="279">
        <f>(244982)/1000*$I$5</f>
        <v>244.982</v>
      </c>
      <c r="J159" s="279">
        <f>I159-(0)/1000*$I$5</f>
        <v>244.982</v>
      </c>
      <c r="K159" s="479"/>
      <c r="L159" s="283"/>
    </row>
    <row r="160" spans="1:12" s="281" customFormat="1" ht="67.5" customHeight="1" x14ac:dyDescent="0.2">
      <c r="A160" s="455"/>
      <c r="B160" s="455" t="s">
        <v>1169</v>
      </c>
      <c r="C160" s="287" t="s">
        <v>1593</v>
      </c>
      <c r="D160" s="479"/>
      <c r="E160" s="288" t="s">
        <v>1592</v>
      </c>
      <c r="F160" s="289" t="s">
        <v>1598</v>
      </c>
      <c r="G160" s="290" t="s">
        <v>1591</v>
      </c>
      <c r="H160" s="455" t="s">
        <v>1586</v>
      </c>
      <c r="I160" s="279">
        <f>(369904)/1000*$I$5</f>
        <v>369.904</v>
      </c>
      <c r="J160" s="279">
        <f>I160-(0)/1000*$I$5</f>
        <v>369.904</v>
      </c>
      <c r="K160" s="479"/>
      <c r="L160" s="283"/>
    </row>
    <row r="161" spans="1:13" s="281" customFormat="1" ht="67.5" customHeight="1" x14ac:dyDescent="0.2">
      <c r="A161" s="455"/>
      <c r="B161" s="455" t="s">
        <v>1170</v>
      </c>
      <c r="C161" s="287" t="s">
        <v>1594</v>
      </c>
      <c r="D161" s="479"/>
      <c r="E161" s="288" t="s">
        <v>1601</v>
      </c>
      <c r="F161" s="289" t="s">
        <v>1595</v>
      </c>
      <c r="G161" s="290" t="s">
        <v>1596</v>
      </c>
      <c r="H161" s="284" t="s">
        <v>2977</v>
      </c>
      <c r="I161" s="279">
        <f>(850000)/1000*$I$5</f>
        <v>850</v>
      </c>
      <c r="J161" s="279">
        <f>I161-(0)/1000*$I$5</f>
        <v>850</v>
      </c>
      <c r="K161" s="479"/>
      <c r="L161" s="283"/>
    </row>
    <row r="162" spans="1:13" s="281" customFormat="1" ht="67.5" customHeight="1" x14ac:dyDescent="0.2">
      <c r="A162" s="455"/>
      <c r="B162" s="455" t="s">
        <v>2620</v>
      </c>
      <c r="C162" s="287" t="s">
        <v>1600</v>
      </c>
      <c r="D162" s="479"/>
      <c r="E162" s="288" t="s">
        <v>1602</v>
      </c>
      <c r="F162" s="289" t="s">
        <v>1599</v>
      </c>
      <c r="G162" s="290" t="s">
        <v>1603</v>
      </c>
      <c r="H162" s="284" t="s">
        <v>2977</v>
      </c>
      <c r="I162" s="279">
        <f>(1470000)/1000*$I$5</f>
        <v>1470</v>
      </c>
      <c r="J162" s="279">
        <f>I162-(0)/1000*$I$5</f>
        <v>1470</v>
      </c>
      <c r="K162" s="479"/>
      <c r="L162" s="283"/>
    </row>
    <row r="163" spans="1:13" s="406" customFormat="1" ht="84" x14ac:dyDescent="0.2">
      <c r="A163" s="397"/>
      <c r="B163" s="431" t="s">
        <v>2978</v>
      </c>
      <c r="C163" s="398" t="s">
        <v>2981</v>
      </c>
      <c r="D163" s="399"/>
      <c r="E163" s="400" t="s">
        <v>2980</v>
      </c>
      <c r="F163" s="401" t="s">
        <v>2979</v>
      </c>
      <c r="G163" s="402" t="s">
        <v>2982</v>
      </c>
      <c r="H163" s="403" t="s">
        <v>2982</v>
      </c>
      <c r="I163" s="404">
        <f>85000*$J$5/1000</f>
        <v>85</v>
      </c>
      <c r="J163" s="404">
        <f>I163-(0)/1000*$J$5</f>
        <v>85</v>
      </c>
      <c r="K163" s="399"/>
      <c r="L163" s="405"/>
    </row>
    <row r="164" spans="1:13" ht="42" customHeight="1" x14ac:dyDescent="0.2">
      <c r="A164" s="241" t="s">
        <v>356</v>
      </c>
      <c r="B164" s="379" t="s">
        <v>343</v>
      </c>
      <c r="C164" s="242" t="s">
        <v>355</v>
      </c>
      <c r="D164" s="243"/>
      <c r="E164" s="291"/>
      <c r="F164" s="292"/>
      <c r="G164" s="293"/>
      <c r="H164" s="469"/>
      <c r="I164" s="469"/>
      <c r="J164" s="469"/>
      <c r="K164" s="471"/>
      <c r="L164" s="231"/>
    </row>
    <row r="165" spans="1:13" ht="108" x14ac:dyDescent="0.2">
      <c r="A165" s="56" t="s">
        <v>357</v>
      </c>
      <c r="B165" s="373" t="s">
        <v>917</v>
      </c>
      <c r="C165" s="222" t="s">
        <v>1162</v>
      </c>
      <c r="D165" s="475" t="s">
        <v>1159</v>
      </c>
      <c r="E165" s="244" t="s">
        <v>981</v>
      </c>
      <c r="F165" s="472" t="s">
        <v>1161</v>
      </c>
      <c r="G165" s="247" t="s">
        <v>132</v>
      </c>
      <c r="H165" s="187" t="s">
        <v>60</v>
      </c>
      <c r="I165" s="188">
        <f>(13558188)/1000*$I$5</f>
        <v>13558.188</v>
      </c>
      <c r="J165" s="188">
        <f>I165-(469389+1258717+530611+1765439)/1000*$I$5</f>
        <v>9534.0319999999992</v>
      </c>
      <c r="K165" s="472" t="s">
        <v>368</v>
      </c>
      <c r="L165" s="59"/>
      <c r="M165" s="248" t="s">
        <v>369</v>
      </c>
    </row>
    <row r="166" spans="1:13" ht="108" x14ac:dyDescent="0.2">
      <c r="A166" s="56" t="s">
        <v>360</v>
      </c>
      <c r="B166" s="373" t="s">
        <v>2621</v>
      </c>
      <c r="C166" s="222" t="s">
        <v>359</v>
      </c>
      <c r="D166" s="475" t="s">
        <v>1160</v>
      </c>
      <c r="E166" s="244" t="s">
        <v>1164</v>
      </c>
      <c r="F166" s="472" t="s">
        <v>1163</v>
      </c>
      <c r="G166" s="247" t="s">
        <v>91</v>
      </c>
      <c r="H166" s="187" t="s">
        <v>95</v>
      </c>
      <c r="I166" s="188">
        <f>(2385000)/1000*$I$5</f>
        <v>2385</v>
      </c>
      <c r="J166" s="188">
        <f t="shared" ref="J166:J172" si="4">I166-(0)/1000*$I$5</f>
        <v>2385</v>
      </c>
      <c r="K166" s="187" t="s">
        <v>371</v>
      </c>
      <c r="L166" s="187"/>
      <c r="M166" s="60" t="s">
        <v>370</v>
      </c>
    </row>
    <row r="167" spans="1:13" ht="77.25" customHeight="1" x14ac:dyDescent="0.2">
      <c r="A167" s="56" t="s">
        <v>366</v>
      </c>
      <c r="B167" s="373" t="s">
        <v>2622</v>
      </c>
      <c r="C167" s="470" t="s">
        <v>1165</v>
      </c>
      <c r="D167" s="608" t="s">
        <v>1179</v>
      </c>
      <c r="E167" s="249" t="s">
        <v>1166</v>
      </c>
      <c r="F167" s="470" t="s">
        <v>1274</v>
      </c>
      <c r="G167" s="187" t="s">
        <v>4</v>
      </c>
      <c r="H167" s="187" t="s">
        <v>5</v>
      </c>
      <c r="I167" s="188">
        <f>(700000)/1000*$I$5</f>
        <v>700</v>
      </c>
      <c r="J167" s="188">
        <f t="shared" si="4"/>
        <v>700</v>
      </c>
      <c r="K167" s="612" t="s">
        <v>536</v>
      </c>
      <c r="L167" s="228"/>
      <c r="M167" s="248" t="s">
        <v>1176</v>
      </c>
    </row>
    <row r="168" spans="1:13" ht="48" x14ac:dyDescent="0.2">
      <c r="A168" s="56" t="s">
        <v>1167</v>
      </c>
      <c r="B168" s="373" t="s">
        <v>2623</v>
      </c>
      <c r="C168" s="470" t="s">
        <v>1165</v>
      </c>
      <c r="D168" s="608"/>
      <c r="E168" s="249" t="s">
        <v>1171</v>
      </c>
      <c r="F168" s="470" t="s">
        <v>1275</v>
      </c>
      <c r="G168" s="187" t="s">
        <v>4</v>
      </c>
      <c r="H168" s="187" t="s">
        <v>5</v>
      </c>
      <c r="I168" s="188">
        <f>(10567316)/1000*$I$5</f>
        <v>10567.316000000001</v>
      </c>
      <c r="J168" s="188">
        <f t="shared" si="4"/>
        <v>10567.316000000001</v>
      </c>
      <c r="K168" s="612"/>
      <c r="L168" s="228"/>
      <c r="M168" s="248"/>
    </row>
    <row r="169" spans="1:13" ht="51" customHeight="1" x14ac:dyDescent="0.2">
      <c r="A169" s="56" t="s">
        <v>1168</v>
      </c>
      <c r="B169" s="373" t="s">
        <v>2624</v>
      </c>
      <c r="C169" s="470" t="s">
        <v>1165</v>
      </c>
      <c r="D169" s="608"/>
      <c r="E169" s="249" t="s">
        <v>1172</v>
      </c>
      <c r="F169" s="470" t="s">
        <v>1173</v>
      </c>
      <c r="G169" s="187" t="s">
        <v>4</v>
      </c>
      <c r="H169" s="187" t="s">
        <v>84</v>
      </c>
      <c r="I169" s="188">
        <f>(8421143)/1000*$I$5</f>
        <v>8421.143</v>
      </c>
      <c r="J169" s="188">
        <f t="shared" si="4"/>
        <v>8421.143</v>
      </c>
      <c r="K169" s="612"/>
      <c r="L169" s="228"/>
      <c r="M169" s="248"/>
    </row>
    <row r="170" spans="1:13" ht="132" x14ac:dyDescent="0.2">
      <c r="A170" s="56" t="s">
        <v>1169</v>
      </c>
      <c r="B170" s="373" t="s">
        <v>2625</v>
      </c>
      <c r="C170" s="470" t="s">
        <v>1165</v>
      </c>
      <c r="D170" s="608"/>
      <c r="E170" s="249" t="s">
        <v>1174</v>
      </c>
      <c r="F170" s="470" t="s">
        <v>1175</v>
      </c>
      <c r="G170" s="187" t="s">
        <v>4</v>
      </c>
      <c r="H170" s="187" t="s">
        <v>84</v>
      </c>
      <c r="I170" s="188">
        <f>(7072314)/1000*$I$5</f>
        <v>7072.3140000000003</v>
      </c>
      <c r="J170" s="188">
        <f t="shared" si="4"/>
        <v>7072.3140000000003</v>
      </c>
      <c r="K170" s="612"/>
      <c r="L170" s="228"/>
      <c r="M170" s="248"/>
    </row>
    <row r="171" spans="1:13" ht="60" x14ac:dyDescent="0.2">
      <c r="A171" s="56" t="s">
        <v>1170</v>
      </c>
      <c r="B171" s="373" t="s">
        <v>2626</v>
      </c>
      <c r="C171" s="470" t="s">
        <v>1165</v>
      </c>
      <c r="D171" s="608"/>
      <c r="E171" s="249" t="s">
        <v>1177</v>
      </c>
      <c r="F171" s="470" t="s">
        <v>1178</v>
      </c>
      <c r="G171" s="187" t="s">
        <v>35</v>
      </c>
      <c r="H171" s="187" t="s">
        <v>5</v>
      </c>
      <c r="I171" s="188">
        <f>(6014061)/1000*$I$5</f>
        <v>6014.0609999999997</v>
      </c>
      <c r="J171" s="188">
        <f t="shared" si="4"/>
        <v>6014.0609999999997</v>
      </c>
      <c r="K171" s="612"/>
      <c r="L171" s="228"/>
      <c r="M171" s="248"/>
    </row>
    <row r="172" spans="1:13" s="281" customFormat="1" ht="96" x14ac:dyDescent="0.2">
      <c r="A172" s="455"/>
      <c r="B172" s="300"/>
      <c r="C172" s="393" t="s">
        <v>2627</v>
      </c>
      <c r="D172" s="484" t="s">
        <v>2329</v>
      </c>
      <c r="E172" s="394" t="s">
        <v>2330</v>
      </c>
      <c r="F172" s="484" t="s">
        <v>2327</v>
      </c>
      <c r="G172" s="300" t="s">
        <v>1591</v>
      </c>
      <c r="H172" s="300" t="s">
        <v>1579</v>
      </c>
      <c r="I172" s="301">
        <f>(500000)/1000*$I$5</f>
        <v>500</v>
      </c>
      <c r="J172" s="301">
        <f t="shared" si="4"/>
        <v>500</v>
      </c>
      <c r="K172" s="479" t="s">
        <v>2328</v>
      </c>
      <c r="L172" s="345"/>
      <c r="M172" s="304"/>
    </row>
    <row r="173" spans="1:13" ht="227.25" customHeight="1" x14ac:dyDescent="0.2">
      <c r="A173" s="250" t="s">
        <v>343</v>
      </c>
      <c r="B173" s="453" t="s">
        <v>1184</v>
      </c>
      <c r="C173" s="469" t="s">
        <v>1182</v>
      </c>
      <c r="D173" s="464" t="s">
        <v>1112</v>
      </c>
      <c r="E173" s="182" t="s">
        <v>953</v>
      </c>
      <c r="F173" s="471" t="s">
        <v>1183</v>
      </c>
      <c r="G173" s="467" t="s">
        <v>101</v>
      </c>
      <c r="H173" s="467" t="s">
        <v>101</v>
      </c>
      <c r="I173" s="196">
        <f>(623681)/1000*$I$5</f>
        <v>623.68100000000004</v>
      </c>
      <c r="J173" s="196">
        <f>I173-(0)/1000*$I$5</f>
        <v>623.68100000000004</v>
      </c>
      <c r="K173" s="472" t="s">
        <v>231</v>
      </c>
      <c r="L173" s="228"/>
      <c r="M173" s="248"/>
    </row>
    <row r="174" spans="1:13" ht="96" customHeight="1" x14ac:dyDescent="0.2">
      <c r="A174" s="251" t="s">
        <v>1184</v>
      </c>
      <c r="B174" s="284" t="s">
        <v>362</v>
      </c>
      <c r="C174" s="470" t="s">
        <v>672</v>
      </c>
      <c r="D174" s="582" t="s">
        <v>1185</v>
      </c>
      <c r="E174" s="176" t="s">
        <v>984</v>
      </c>
      <c r="F174" s="472" t="s">
        <v>1186</v>
      </c>
      <c r="G174" s="187" t="s">
        <v>126</v>
      </c>
      <c r="H174" s="187" t="s">
        <v>295</v>
      </c>
      <c r="I174" s="188">
        <f>(83139502.68)/1000*$I$5</f>
        <v>83139.502680000005</v>
      </c>
      <c r="J174" s="188">
        <f>I174-(6200000+10529012+8438715+108814)/1000*$I$5</f>
        <v>57862.961680000008</v>
      </c>
      <c r="K174" s="473" t="s">
        <v>341</v>
      </c>
      <c r="L174" s="228"/>
    </row>
    <row r="175" spans="1:13" ht="34.5" customHeight="1" x14ac:dyDescent="0.2">
      <c r="A175" s="56" t="s">
        <v>362</v>
      </c>
      <c r="B175" s="284" t="s">
        <v>363</v>
      </c>
      <c r="C175" s="607" t="s">
        <v>1705</v>
      </c>
      <c r="D175" s="583"/>
      <c r="E175" s="252" t="s">
        <v>1197</v>
      </c>
      <c r="F175" s="253" t="s">
        <v>1017</v>
      </c>
      <c r="G175" s="467"/>
      <c r="H175" s="254"/>
      <c r="I175" s="196"/>
      <c r="J175" s="196"/>
      <c r="K175" s="614" t="s">
        <v>348</v>
      </c>
      <c r="L175" s="78"/>
      <c r="M175" s="248" t="s">
        <v>345</v>
      </c>
    </row>
    <row r="176" spans="1:13" ht="48" x14ac:dyDescent="0.2">
      <c r="A176" s="56" t="s">
        <v>1189</v>
      </c>
      <c r="B176" s="455" t="s">
        <v>1199</v>
      </c>
      <c r="C176" s="608"/>
      <c r="D176" s="583"/>
      <c r="E176" s="255" t="s">
        <v>1187</v>
      </c>
      <c r="F176" s="256" t="s">
        <v>1188</v>
      </c>
      <c r="G176" s="187" t="s">
        <v>176</v>
      </c>
      <c r="H176" s="257" t="s">
        <v>48</v>
      </c>
      <c r="I176" s="188">
        <f>(18470000)/1000*$I$5</f>
        <v>18470</v>
      </c>
      <c r="J176" s="188">
        <f>I176-(6226282)/1000*$I$5</f>
        <v>12243.718000000001</v>
      </c>
      <c r="K176" s="615"/>
      <c r="L176" s="78"/>
      <c r="M176" s="248"/>
    </row>
    <row r="177" spans="1:13" ht="48" x14ac:dyDescent="0.2">
      <c r="A177" s="56" t="s">
        <v>1190</v>
      </c>
      <c r="B177" s="455" t="s">
        <v>1200</v>
      </c>
      <c r="C177" s="608"/>
      <c r="D177" s="583"/>
      <c r="E177" s="255" t="s">
        <v>1193</v>
      </c>
      <c r="F177" s="256" t="s">
        <v>1194</v>
      </c>
      <c r="G177" s="187" t="s">
        <v>410</v>
      </c>
      <c r="H177" s="257" t="s">
        <v>48</v>
      </c>
      <c r="I177" s="188">
        <f>(6000000)/1000*$I$5</f>
        <v>6000</v>
      </c>
      <c r="J177" s="188">
        <f>I177-(584574)/1000*$I$5</f>
        <v>5415.4260000000004</v>
      </c>
      <c r="K177" s="615"/>
      <c r="L177" s="78"/>
      <c r="M177" s="248"/>
    </row>
    <row r="178" spans="1:13" ht="36" x14ac:dyDescent="0.2">
      <c r="A178" s="56" t="s">
        <v>1191</v>
      </c>
      <c r="B178" s="455" t="s">
        <v>1201</v>
      </c>
      <c r="C178" s="608"/>
      <c r="D178" s="583"/>
      <c r="E178" s="255" t="s">
        <v>1195</v>
      </c>
      <c r="F178" s="256" t="s">
        <v>1196</v>
      </c>
      <c r="G178" s="187" t="s">
        <v>78</v>
      </c>
      <c r="H178" s="257" t="s">
        <v>11</v>
      </c>
      <c r="I178" s="188">
        <f>(43638688)/1000*$I$5</f>
        <v>43638.688000000002</v>
      </c>
      <c r="J178" s="188">
        <f>I178-(1856603+12527+625000)/1000*$I$5</f>
        <v>41144.558000000005</v>
      </c>
      <c r="K178" s="615"/>
      <c r="L178" s="78"/>
      <c r="M178" s="248"/>
    </row>
    <row r="179" spans="1:13" ht="57.75" customHeight="1" x14ac:dyDescent="0.2">
      <c r="A179" s="56" t="s">
        <v>1192</v>
      </c>
      <c r="B179" s="455" t="s">
        <v>1202</v>
      </c>
      <c r="C179" s="608"/>
      <c r="D179" s="583"/>
      <c r="E179" s="255" t="s">
        <v>1198</v>
      </c>
      <c r="F179" s="256" t="s">
        <v>1188</v>
      </c>
      <c r="G179" s="187" t="s">
        <v>35</v>
      </c>
      <c r="H179" s="257" t="s">
        <v>11</v>
      </c>
      <c r="I179" s="188">
        <f>(35800000)/1000*$I$5</f>
        <v>35800</v>
      </c>
      <c r="J179" s="188">
        <f>I179-(1161147+807520+1980019)/1000*$I$5</f>
        <v>31851.313999999998</v>
      </c>
      <c r="K179" s="616"/>
      <c r="L179" s="78"/>
      <c r="M179" s="248"/>
    </row>
    <row r="180" spans="1:13" ht="37.5" customHeight="1" x14ac:dyDescent="0.2">
      <c r="A180" s="250" t="s">
        <v>363</v>
      </c>
      <c r="B180" s="380" t="s">
        <v>392</v>
      </c>
      <c r="C180" s="474" t="s">
        <v>347</v>
      </c>
      <c r="D180" s="583"/>
      <c r="E180" s="182" t="s">
        <v>1197</v>
      </c>
      <c r="F180" s="259"/>
      <c r="G180" s="260"/>
      <c r="H180" s="467"/>
      <c r="I180" s="196"/>
      <c r="J180" s="196"/>
      <c r="K180" s="607" t="s">
        <v>349</v>
      </c>
      <c r="L180" s="78"/>
      <c r="M180" s="248" t="s">
        <v>350</v>
      </c>
    </row>
    <row r="181" spans="1:13" ht="56.25" customHeight="1" x14ac:dyDescent="0.2">
      <c r="A181" s="261" t="s">
        <v>1199</v>
      </c>
      <c r="B181" s="373" t="s">
        <v>2628</v>
      </c>
      <c r="C181" s="472"/>
      <c r="D181" s="583"/>
      <c r="E181" s="255" t="s">
        <v>1204</v>
      </c>
      <c r="F181" s="472" t="s">
        <v>1205</v>
      </c>
      <c r="G181" s="187" t="s">
        <v>176</v>
      </c>
      <c r="H181" s="247" t="s">
        <v>54</v>
      </c>
      <c r="I181" s="262">
        <f>(17300000)/1000*$I$5</f>
        <v>17300</v>
      </c>
      <c r="J181" s="188">
        <f>I181-(2581571+57053)/1000*$I$5</f>
        <v>14661.376</v>
      </c>
      <c r="K181" s="609"/>
      <c r="L181" s="78"/>
      <c r="M181" s="248"/>
    </row>
    <row r="182" spans="1:13" ht="51.75" customHeight="1" x14ac:dyDescent="0.2">
      <c r="A182" s="261" t="s">
        <v>1200</v>
      </c>
      <c r="B182" s="373" t="s">
        <v>2629</v>
      </c>
      <c r="C182" s="472"/>
      <c r="D182" s="583"/>
      <c r="E182" s="255" t="s">
        <v>1203</v>
      </c>
      <c r="F182" s="472" t="s">
        <v>1205</v>
      </c>
      <c r="G182" s="187" t="s">
        <v>181</v>
      </c>
      <c r="H182" s="247" t="s">
        <v>7</v>
      </c>
      <c r="I182" s="262">
        <f>(16900000)/1000*$I$5</f>
        <v>16900</v>
      </c>
      <c r="J182" s="188">
        <f>I182-(0)/1000*$I$5</f>
        <v>16900</v>
      </c>
      <c r="K182" s="609"/>
      <c r="L182" s="78"/>
      <c r="M182" s="248"/>
    </row>
    <row r="183" spans="1:13" ht="30" customHeight="1" x14ac:dyDescent="0.2">
      <c r="A183" s="261" t="s">
        <v>1201</v>
      </c>
      <c r="B183" s="373" t="s">
        <v>2630</v>
      </c>
      <c r="C183" s="472"/>
      <c r="D183" s="583"/>
      <c r="E183" s="255" t="s">
        <v>1206</v>
      </c>
      <c r="F183" s="472" t="s">
        <v>1207</v>
      </c>
      <c r="G183" s="187" t="s">
        <v>181</v>
      </c>
      <c r="H183" s="247" t="s">
        <v>54</v>
      </c>
      <c r="I183" s="262">
        <f>(2100000)/1000*$I$5</f>
        <v>2100</v>
      </c>
      <c r="J183" s="188">
        <f>I183-(300000)/1000*$I$5</f>
        <v>1800</v>
      </c>
      <c r="K183" s="609"/>
      <c r="L183" s="78"/>
      <c r="M183" s="248"/>
    </row>
    <row r="184" spans="1:13" ht="55.5" customHeight="1" x14ac:dyDescent="0.2">
      <c r="A184" s="261" t="s">
        <v>1202</v>
      </c>
      <c r="B184" s="373" t="s">
        <v>2631</v>
      </c>
      <c r="C184" s="472"/>
      <c r="D184" s="583"/>
      <c r="E184" s="255" t="s">
        <v>1208</v>
      </c>
      <c r="F184" s="472" t="s">
        <v>1205</v>
      </c>
      <c r="G184" s="187" t="s">
        <v>4</v>
      </c>
      <c r="H184" s="247" t="s">
        <v>9</v>
      </c>
      <c r="I184" s="262">
        <f>(19600000)/1000*$I$5</f>
        <v>19600</v>
      </c>
      <c r="J184" s="188">
        <f>I184-(0)/1000*$I$5</f>
        <v>19600</v>
      </c>
      <c r="K184" s="610"/>
      <c r="L184" s="78"/>
      <c r="M184" s="248"/>
    </row>
    <row r="185" spans="1:13" s="281" customFormat="1" ht="120" x14ac:dyDescent="0.2">
      <c r="A185" s="305" t="s">
        <v>1621</v>
      </c>
      <c r="B185" s="373" t="s">
        <v>2632</v>
      </c>
      <c r="C185" s="479"/>
      <c r="D185" s="479" t="s">
        <v>1625</v>
      </c>
      <c r="E185" s="306" t="s">
        <v>1622</v>
      </c>
      <c r="F185" s="479" t="s">
        <v>1624</v>
      </c>
      <c r="G185" s="455" t="s">
        <v>872</v>
      </c>
      <c r="H185" s="290" t="s">
        <v>1586</v>
      </c>
      <c r="I185" s="307">
        <f>(2200000)/1000*$I$5</f>
        <v>2200</v>
      </c>
      <c r="J185" s="279">
        <f>I185-(0)/1000*$I$5</f>
        <v>2200</v>
      </c>
      <c r="K185" s="308" t="s">
        <v>1623</v>
      </c>
      <c r="L185" s="303"/>
      <c r="M185" s="304"/>
    </row>
    <row r="186" spans="1:13" ht="108" customHeight="1" x14ac:dyDescent="0.2">
      <c r="A186" s="383">
        <v>14</v>
      </c>
      <c r="B186" s="300" t="s">
        <v>393</v>
      </c>
      <c r="C186" s="4" t="s">
        <v>1276</v>
      </c>
      <c r="D186" s="230" t="s">
        <v>1185</v>
      </c>
      <c r="E186" s="183" t="s">
        <v>1210</v>
      </c>
      <c r="F186" s="66" t="s">
        <v>1209</v>
      </c>
      <c r="G186" s="77" t="s">
        <v>51</v>
      </c>
      <c r="H186" s="77" t="s">
        <v>52</v>
      </c>
      <c r="I186" s="195">
        <f>(6478556)/1000*$I$5</f>
        <v>6478.5559999999996</v>
      </c>
      <c r="J186" s="195">
        <f>I186-(5170957)/1000*$I$5</f>
        <v>1307.5989999999993</v>
      </c>
      <c r="K186" s="66" t="s">
        <v>352</v>
      </c>
      <c r="L186" s="78"/>
      <c r="M186" s="60" t="s">
        <v>353</v>
      </c>
    </row>
    <row r="187" spans="1:13" ht="28.5" customHeight="1" x14ac:dyDescent="0.2">
      <c r="A187" s="250" t="s">
        <v>393</v>
      </c>
      <c r="B187" s="453" t="s">
        <v>394</v>
      </c>
      <c r="C187" s="611" t="s">
        <v>986</v>
      </c>
      <c r="D187" s="232"/>
      <c r="E187" s="252"/>
      <c r="F187" s="253"/>
      <c r="G187" s="467"/>
      <c r="H187" s="254"/>
      <c r="I187" s="196"/>
      <c r="J187" s="196"/>
      <c r="K187" s="611" t="s">
        <v>372</v>
      </c>
      <c r="L187" s="78"/>
    </row>
    <row r="188" spans="1:13" ht="36" x14ac:dyDescent="0.2">
      <c r="A188" s="261" t="s">
        <v>1212</v>
      </c>
      <c r="B188" s="373" t="s">
        <v>2633</v>
      </c>
      <c r="C188" s="612"/>
      <c r="D188" s="232"/>
      <c r="E188" s="255" t="s">
        <v>1222</v>
      </c>
      <c r="F188" s="256" t="s">
        <v>1211</v>
      </c>
      <c r="G188" s="187" t="s">
        <v>78</v>
      </c>
      <c r="H188" s="257" t="s">
        <v>95</v>
      </c>
      <c r="I188" s="188">
        <f>(24038994)/1000*$I$5</f>
        <v>24038.993999999999</v>
      </c>
      <c r="J188" s="188">
        <f>I188-(2293986+1543444+4453835)/1000*$I$5</f>
        <v>15747.728999999999</v>
      </c>
      <c r="K188" s="612"/>
      <c r="L188" s="78"/>
      <c r="M188" s="248" t="s">
        <v>354</v>
      </c>
    </row>
    <row r="189" spans="1:13" ht="48" x14ac:dyDescent="0.2">
      <c r="A189" s="263" t="s">
        <v>1213</v>
      </c>
      <c r="B189" s="412" t="s">
        <v>2634</v>
      </c>
      <c r="C189" s="613"/>
      <c r="D189" s="232"/>
      <c r="E189" s="255" t="s">
        <v>1221</v>
      </c>
      <c r="F189" s="256" t="s">
        <v>1214</v>
      </c>
      <c r="G189" s="187" t="s">
        <v>49</v>
      </c>
      <c r="H189" s="257" t="s">
        <v>9</v>
      </c>
      <c r="I189" s="188">
        <f>(777000)/1000*$I$5</f>
        <v>777</v>
      </c>
      <c r="J189" s="188">
        <f>I189-(0)/1000*$I$5</f>
        <v>777</v>
      </c>
      <c r="K189" s="613"/>
      <c r="L189" s="78"/>
      <c r="M189" s="248"/>
    </row>
    <row r="190" spans="1:13" ht="48" x14ac:dyDescent="0.2">
      <c r="A190" s="112" t="s">
        <v>394</v>
      </c>
      <c r="B190" s="300" t="s">
        <v>395</v>
      </c>
      <c r="C190" s="469" t="s">
        <v>1706</v>
      </c>
      <c r="D190" s="232"/>
      <c r="E190" s="183" t="s">
        <v>1220</v>
      </c>
      <c r="F190" s="131" t="s">
        <v>1215</v>
      </c>
      <c r="G190" s="77" t="s">
        <v>124</v>
      </c>
      <c r="H190" s="77" t="s">
        <v>35</v>
      </c>
      <c r="I190" s="195">
        <f>(5116926)/1000*$I$5</f>
        <v>5116.9260000000004</v>
      </c>
      <c r="J190" s="195">
        <f>I190-(199477+243074)/1000*$I$5</f>
        <v>4674.375</v>
      </c>
      <c r="K190" s="66" t="s">
        <v>373</v>
      </c>
      <c r="L190" s="78"/>
      <c r="M190" s="248" t="s">
        <v>374</v>
      </c>
    </row>
    <row r="191" spans="1:13" ht="60" customHeight="1" x14ac:dyDescent="0.2">
      <c r="A191" s="112" t="s">
        <v>395</v>
      </c>
      <c r="B191" s="430" t="s">
        <v>396</v>
      </c>
      <c r="C191" s="607" t="s">
        <v>802</v>
      </c>
      <c r="D191" s="232"/>
      <c r="E191" s="183" t="s">
        <v>1219</v>
      </c>
      <c r="F191" s="131" t="s">
        <v>1217</v>
      </c>
      <c r="G191" s="77" t="s">
        <v>132</v>
      </c>
      <c r="H191" s="77" t="s">
        <v>5</v>
      </c>
      <c r="I191" s="195">
        <f>(1730000)/1000*$I$5</f>
        <v>1730</v>
      </c>
      <c r="J191" s="195">
        <f>I191-(422391)/1000*$I$5</f>
        <v>1307.6089999999999</v>
      </c>
      <c r="K191" s="66" t="s">
        <v>375</v>
      </c>
      <c r="L191" s="78"/>
      <c r="M191" s="248" t="s">
        <v>376</v>
      </c>
    </row>
    <row r="192" spans="1:13" s="420" customFormat="1" ht="108" x14ac:dyDescent="0.2">
      <c r="A192" s="413"/>
      <c r="B192" s="442" t="s">
        <v>3244</v>
      </c>
      <c r="C192" s="628"/>
      <c r="D192" s="415" t="s">
        <v>1625</v>
      </c>
      <c r="E192" s="416" t="s">
        <v>2986</v>
      </c>
      <c r="F192" s="494" t="s">
        <v>3000</v>
      </c>
      <c r="G192" s="413" t="s">
        <v>1944</v>
      </c>
      <c r="H192" s="413" t="s">
        <v>2104</v>
      </c>
      <c r="I192" s="417">
        <f>2850000*$J$5/1000</f>
        <v>2850</v>
      </c>
      <c r="J192" s="417">
        <f>I192-(0)/1000*$J$5</f>
        <v>2850</v>
      </c>
      <c r="K192" s="494"/>
      <c r="L192" s="418"/>
      <c r="M192" s="419"/>
    </row>
    <row r="193" spans="1:13" ht="108" x14ac:dyDescent="0.2">
      <c r="A193" s="112" t="s">
        <v>396</v>
      </c>
      <c r="B193" s="300" t="s">
        <v>397</v>
      </c>
      <c r="C193" s="469" t="s">
        <v>1216</v>
      </c>
      <c r="D193" s="421" t="s">
        <v>1185</v>
      </c>
      <c r="E193" s="183" t="s">
        <v>1218</v>
      </c>
      <c r="F193" s="131" t="s">
        <v>1277</v>
      </c>
      <c r="G193" s="77" t="s">
        <v>488</v>
      </c>
      <c r="H193" s="77" t="s">
        <v>60</v>
      </c>
      <c r="I193" s="195">
        <f>(1570000)/1000*$I$5</f>
        <v>1570</v>
      </c>
      <c r="J193" s="195">
        <f t="shared" ref="J193:J204" si="5">I193-(0)/1000*$I$5</f>
        <v>1570</v>
      </c>
      <c r="K193" s="66"/>
      <c r="L193" s="78"/>
      <c r="M193" s="248"/>
    </row>
    <row r="194" spans="1:13" s="281" customFormat="1" ht="120" x14ac:dyDescent="0.2">
      <c r="A194" s="412"/>
      <c r="B194" s="300" t="s">
        <v>398</v>
      </c>
      <c r="C194" s="481" t="s">
        <v>1617</v>
      </c>
      <c r="D194" s="479" t="s">
        <v>1625</v>
      </c>
      <c r="E194" s="298" t="s">
        <v>1620</v>
      </c>
      <c r="F194" s="299" t="s">
        <v>1618</v>
      </c>
      <c r="G194" s="300" t="s">
        <v>1591</v>
      </c>
      <c r="H194" s="300" t="s">
        <v>1596</v>
      </c>
      <c r="I194" s="301">
        <f>(1470000)/1000*$I$5</f>
        <v>1470</v>
      </c>
      <c r="J194" s="301">
        <f t="shared" si="5"/>
        <v>1470</v>
      </c>
      <c r="K194" s="299" t="s">
        <v>1619</v>
      </c>
      <c r="L194" s="303"/>
      <c r="M194" s="304"/>
    </row>
    <row r="195" spans="1:13" s="420" customFormat="1" ht="72" x14ac:dyDescent="0.2">
      <c r="A195" s="429"/>
      <c r="B195" s="444" t="s">
        <v>399</v>
      </c>
      <c r="C195" s="414" t="s">
        <v>1216</v>
      </c>
      <c r="D195" s="656" t="s">
        <v>3001</v>
      </c>
      <c r="E195" s="416" t="s">
        <v>3003</v>
      </c>
      <c r="F195" s="494" t="s">
        <v>3002</v>
      </c>
      <c r="G195" s="413" t="s">
        <v>2104</v>
      </c>
      <c r="H195" s="426" t="s">
        <v>3007</v>
      </c>
      <c r="I195" s="417">
        <f>550000*$J$5/1000</f>
        <v>550</v>
      </c>
      <c r="J195" s="417">
        <f>I195-(0)/1000*$J$5</f>
        <v>550</v>
      </c>
      <c r="K195" s="494"/>
      <c r="L195" s="418"/>
      <c r="M195" s="419"/>
    </row>
    <row r="196" spans="1:13" s="420" customFormat="1" ht="64.5" customHeight="1" x14ac:dyDescent="0.2">
      <c r="A196" s="429"/>
      <c r="B196" s="413" t="s">
        <v>400</v>
      </c>
      <c r="C196" s="414" t="s">
        <v>3006</v>
      </c>
      <c r="D196" s="656"/>
      <c r="E196" s="416" t="s">
        <v>3004</v>
      </c>
      <c r="F196" s="494" t="s">
        <v>3005</v>
      </c>
      <c r="G196" s="413" t="s">
        <v>2982</v>
      </c>
      <c r="H196" s="426" t="s">
        <v>3008</v>
      </c>
      <c r="I196" s="417">
        <f>21900052*$J$5/1000</f>
        <v>21900.052</v>
      </c>
      <c r="J196" s="417">
        <f>I196-(0)/1000*$J$5</f>
        <v>21900.052</v>
      </c>
      <c r="K196" s="494"/>
      <c r="L196" s="418"/>
      <c r="M196" s="419"/>
    </row>
    <row r="197" spans="1:13" s="281" customFormat="1" ht="120" x14ac:dyDescent="0.2">
      <c r="A197" s="412"/>
      <c r="B197" s="300" t="s">
        <v>403</v>
      </c>
      <c r="C197" s="481" t="s">
        <v>1645</v>
      </c>
      <c r="D197" s="479" t="s">
        <v>1625</v>
      </c>
      <c r="E197" s="298" t="s">
        <v>1646</v>
      </c>
      <c r="F197" s="299" t="s">
        <v>1647</v>
      </c>
      <c r="G197" s="300" t="s">
        <v>1643</v>
      </c>
      <c r="H197" s="300" t="s">
        <v>1527</v>
      </c>
      <c r="I197" s="301">
        <f>(370000)/1000*$I$5</f>
        <v>370</v>
      </c>
      <c r="J197" s="301">
        <f t="shared" si="5"/>
        <v>370</v>
      </c>
      <c r="K197" s="299" t="s">
        <v>1648</v>
      </c>
      <c r="L197" s="303"/>
      <c r="M197" s="304"/>
    </row>
    <row r="198" spans="1:13" ht="48" x14ac:dyDescent="0.2">
      <c r="A198" s="75" t="s">
        <v>397</v>
      </c>
      <c r="B198" s="300" t="s">
        <v>408</v>
      </c>
      <c r="C198" s="469" t="s">
        <v>379</v>
      </c>
      <c r="D198" s="232"/>
      <c r="E198" s="183" t="s">
        <v>1230</v>
      </c>
      <c r="F198" s="131" t="s">
        <v>1223</v>
      </c>
      <c r="G198" s="77" t="s">
        <v>14</v>
      </c>
      <c r="H198" s="77" t="s">
        <v>7</v>
      </c>
      <c r="I198" s="195">
        <f>(990000)/1000*$I$5</f>
        <v>990</v>
      </c>
      <c r="J198" s="195">
        <f t="shared" si="5"/>
        <v>990</v>
      </c>
      <c r="K198" s="66" t="s">
        <v>378</v>
      </c>
      <c r="L198" s="78"/>
      <c r="M198" s="248" t="s">
        <v>380</v>
      </c>
    </row>
    <row r="199" spans="1:13" ht="80.25" customHeight="1" x14ac:dyDescent="0.2">
      <c r="A199" s="75" t="s">
        <v>398</v>
      </c>
      <c r="B199" s="300" t="s">
        <v>416</v>
      </c>
      <c r="C199" s="469" t="s">
        <v>1225</v>
      </c>
      <c r="D199" s="583" t="s">
        <v>1185</v>
      </c>
      <c r="E199" s="183" t="s">
        <v>1231</v>
      </c>
      <c r="F199" s="131" t="s">
        <v>1224</v>
      </c>
      <c r="G199" s="77" t="s">
        <v>24</v>
      </c>
      <c r="H199" s="77" t="s">
        <v>11</v>
      </c>
      <c r="I199" s="195">
        <f>(1430000)/1000*$I$5</f>
        <v>1430</v>
      </c>
      <c r="J199" s="195">
        <f t="shared" si="5"/>
        <v>1430</v>
      </c>
      <c r="K199" s="66" t="s">
        <v>382</v>
      </c>
      <c r="L199" s="78"/>
      <c r="M199" s="68" t="s">
        <v>383</v>
      </c>
    </row>
    <row r="200" spans="1:13" ht="48" x14ac:dyDescent="0.2">
      <c r="A200" s="75" t="s">
        <v>403</v>
      </c>
      <c r="B200" s="300" t="s">
        <v>418</v>
      </c>
      <c r="C200" s="469" t="s">
        <v>1227</v>
      </c>
      <c r="D200" s="583"/>
      <c r="E200" s="183" t="s">
        <v>1229</v>
      </c>
      <c r="F200" s="131" t="s">
        <v>1226</v>
      </c>
      <c r="G200" s="77" t="s">
        <v>91</v>
      </c>
      <c r="H200" s="77" t="s">
        <v>9</v>
      </c>
      <c r="I200" s="195">
        <f>(1269000)/1000*$I$5</f>
        <v>1269</v>
      </c>
      <c r="J200" s="195">
        <f t="shared" si="5"/>
        <v>1269</v>
      </c>
      <c r="K200" s="66" t="s">
        <v>384</v>
      </c>
      <c r="L200" s="78"/>
      <c r="M200" s="69" t="s">
        <v>385</v>
      </c>
    </row>
    <row r="201" spans="1:13" ht="36" x14ac:dyDescent="0.2">
      <c r="A201" s="75" t="s">
        <v>408</v>
      </c>
      <c r="B201" s="444" t="s">
        <v>421</v>
      </c>
      <c r="C201" s="508" t="s">
        <v>1232</v>
      </c>
      <c r="D201" s="652" t="s">
        <v>1233</v>
      </c>
      <c r="E201" s="505" t="s">
        <v>1228</v>
      </c>
      <c r="F201" s="507" t="s">
        <v>1234</v>
      </c>
      <c r="G201" s="444" t="s">
        <v>103</v>
      </c>
      <c r="H201" s="444" t="s">
        <v>16</v>
      </c>
      <c r="I201" s="506">
        <f>(1511338)/1000*$I$5</f>
        <v>1511.338</v>
      </c>
      <c r="J201" s="506">
        <f t="shared" si="5"/>
        <v>1511.338</v>
      </c>
      <c r="K201" s="471"/>
      <c r="L201" s="231"/>
      <c r="M201" s="69"/>
    </row>
    <row r="202" spans="1:13" s="281" customFormat="1" ht="74.25" customHeight="1" x14ac:dyDescent="0.2">
      <c r="A202" s="455"/>
      <c r="B202" s="431" t="s">
        <v>2635</v>
      </c>
      <c r="C202" s="653" t="s">
        <v>1227</v>
      </c>
      <c r="D202" s="652"/>
      <c r="E202" s="505" t="s">
        <v>1640</v>
      </c>
      <c r="F202" s="507" t="s">
        <v>1641</v>
      </c>
      <c r="G202" s="444" t="s">
        <v>1643</v>
      </c>
      <c r="H202" s="437" t="s">
        <v>2992</v>
      </c>
      <c r="I202" s="506">
        <f>(350000)/1000*$I$5</f>
        <v>350</v>
      </c>
      <c r="J202" s="506">
        <f t="shared" si="5"/>
        <v>350</v>
      </c>
      <c r="K202" s="478" t="s">
        <v>1642</v>
      </c>
      <c r="L202" s="312"/>
      <c r="M202" s="313"/>
    </row>
    <row r="203" spans="1:13" s="420" customFormat="1" ht="84" x14ac:dyDescent="0.2">
      <c r="A203" s="423"/>
      <c r="B203" s="444" t="s">
        <v>2993</v>
      </c>
      <c r="C203" s="654"/>
      <c r="D203" s="649" t="s">
        <v>2990</v>
      </c>
      <c r="E203" s="505" t="s">
        <v>2996</v>
      </c>
      <c r="F203" s="507" t="s">
        <v>2994</v>
      </c>
      <c r="G203" s="444" t="s">
        <v>2104</v>
      </c>
      <c r="H203" s="437" t="s">
        <v>2998</v>
      </c>
      <c r="I203" s="506">
        <f>2500000*$J$5/1000</f>
        <v>2500</v>
      </c>
      <c r="J203" s="506">
        <f t="shared" si="5"/>
        <v>2500</v>
      </c>
      <c r="K203" s="493"/>
      <c r="L203" s="427"/>
      <c r="M203" s="428"/>
    </row>
    <row r="204" spans="1:13" s="281" customFormat="1" ht="84" x14ac:dyDescent="0.2">
      <c r="A204" s="455"/>
      <c r="B204" s="444" t="s">
        <v>2999</v>
      </c>
      <c r="C204" s="655"/>
      <c r="D204" s="651"/>
      <c r="E204" s="505" t="s">
        <v>2997</v>
      </c>
      <c r="F204" s="507" t="s">
        <v>2995</v>
      </c>
      <c r="G204" s="444" t="s">
        <v>2982</v>
      </c>
      <c r="H204" s="437" t="s">
        <v>2998</v>
      </c>
      <c r="I204" s="506">
        <f>1600000*$J$5/1000</f>
        <v>1600</v>
      </c>
      <c r="J204" s="506">
        <f t="shared" si="5"/>
        <v>1600</v>
      </c>
      <c r="K204" s="478"/>
      <c r="L204" s="312"/>
      <c r="M204" s="313"/>
    </row>
    <row r="205" spans="1:13" ht="54" customHeight="1" x14ac:dyDescent="0.2">
      <c r="A205" s="250" t="s">
        <v>416</v>
      </c>
      <c r="B205" s="453" t="s">
        <v>434</v>
      </c>
      <c r="C205" s="607" t="s">
        <v>673</v>
      </c>
      <c r="D205" s="232"/>
      <c r="E205" s="183" t="s">
        <v>387</v>
      </c>
      <c r="F205" s="131" t="s">
        <v>1235</v>
      </c>
      <c r="G205" s="77" t="s">
        <v>16</v>
      </c>
      <c r="H205" s="77" t="s">
        <v>15</v>
      </c>
      <c r="I205" s="195">
        <f>(5970000)/1000*$I$5</f>
        <v>5970</v>
      </c>
      <c r="J205" s="195">
        <f>I205-(404688+1840498+475320+23715)/1000*$I$5</f>
        <v>3225.779</v>
      </c>
      <c r="K205" s="471" t="s">
        <v>386</v>
      </c>
      <c r="L205" s="231"/>
      <c r="M205" s="68" t="s">
        <v>387</v>
      </c>
    </row>
    <row r="206" spans="1:13" s="406" customFormat="1" ht="54" customHeight="1" x14ac:dyDescent="0.2">
      <c r="A206" s="407"/>
      <c r="B206" s="431" t="s">
        <v>3245</v>
      </c>
      <c r="C206" s="608"/>
      <c r="D206" s="232"/>
      <c r="E206" s="408" t="s">
        <v>2985</v>
      </c>
      <c r="F206" s="399" t="s">
        <v>2984</v>
      </c>
      <c r="G206" s="397" t="s">
        <v>1579</v>
      </c>
      <c r="H206" s="397" t="s">
        <v>2245</v>
      </c>
      <c r="I206" s="404">
        <f>3400000*$J$5/1000</f>
        <v>3400</v>
      </c>
      <c r="J206" s="404">
        <f>I206-(0)/1000*$J$5</f>
        <v>3400</v>
      </c>
      <c r="K206" s="409"/>
      <c r="L206" s="410"/>
      <c r="M206" s="411"/>
    </row>
    <row r="207" spans="1:13" s="420" customFormat="1" ht="110.25" customHeight="1" x14ac:dyDescent="0.2">
      <c r="A207" s="422"/>
      <c r="B207" s="444" t="s">
        <v>3246</v>
      </c>
      <c r="C207" s="504" t="s">
        <v>2991</v>
      </c>
      <c r="D207" s="507" t="s">
        <v>2990</v>
      </c>
      <c r="E207" s="505" t="s">
        <v>2987</v>
      </c>
      <c r="F207" s="507" t="s">
        <v>2988</v>
      </c>
      <c r="G207" s="444" t="s">
        <v>2989</v>
      </c>
      <c r="H207" s="444" t="s">
        <v>2104</v>
      </c>
      <c r="I207" s="506">
        <f>344019*$J$5/1000</f>
        <v>344.01900000000001</v>
      </c>
      <c r="J207" s="506">
        <f>I207-(0)/1000*$J$5</f>
        <v>344.01900000000001</v>
      </c>
      <c r="K207" s="493"/>
      <c r="L207" s="424"/>
      <c r="M207" s="425"/>
    </row>
    <row r="208" spans="1:13" s="281" customFormat="1" ht="90" customHeight="1" x14ac:dyDescent="0.2">
      <c r="A208" s="453"/>
      <c r="B208" s="455" t="s">
        <v>2636</v>
      </c>
      <c r="C208" s="633" t="s">
        <v>2049</v>
      </c>
      <c r="D208" s="479"/>
      <c r="E208" s="488" t="s">
        <v>1605</v>
      </c>
      <c r="F208" s="479" t="s">
        <v>1608</v>
      </c>
      <c r="G208" s="455" t="s">
        <v>1606</v>
      </c>
      <c r="H208" s="455" t="s">
        <v>63</v>
      </c>
      <c r="I208" s="279">
        <f>(2310000)/1000*$I$5</f>
        <v>2310</v>
      </c>
      <c r="J208" s="279">
        <f t="shared" ref="J208:J224" si="6">I208-(0)/1000*$I$5</f>
        <v>2310</v>
      </c>
      <c r="K208" s="478"/>
      <c r="L208" s="295"/>
      <c r="M208" s="296"/>
    </row>
    <row r="209" spans="1:13" s="281" customFormat="1" ht="107.25" customHeight="1" x14ac:dyDescent="0.2">
      <c r="A209" s="453"/>
      <c r="B209" s="453" t="s">
        <v>2637</v>
      </c>
      <c r="C209" s="635"/>
      <c r="D209" s="479"/>
      <c r="E209" s="488" t="s">
        <v>1609</v>
      </c>
      <c r="F209" s="479" t="s">
        <v>1607</v>
      </c>
      <c r="G209" s="455" t="s">
        <v>1559</v>
      </c>
      <c r="H209" s="455" t="s">
        <v>1559</v>
      </c>
      <c r="I209" s="279">
        <f>(545000)/1000*$I$5</f>
        <v>545</v>
      </c>
      <c r="J209" s="279">
        <f t="shared" si="6"/>
        <v>545</v>
      </c>
      <c r="K209" s="478"/>
      <c r="L209" s="295"/>
      <c r="M209" s="296"/>
    </row>
    <row r="210" spans="1:13" s="281" customFormat="1" ht="108" x14ac:dyDescent="0.2">
      <c r="A210" s="453"/>
      <c r="B210" s="453" t="s">
        <v>2638</v>
      </c>
      <c r="C210" s="635"/>
      <c r="D210" s="479"/>
      <c r="E210" s="488" t="s">
        <v>1610</v>
      </c>
      <c r="F210" s="479" t="s">
        <v>1608</v>
      </c>
      <c r="G210" s="455" t="s">
        <v>1522</v>
      </c>
      <c r="H210" s="455" t="s">
        <v>1527</v>
      </c>
      <c r="I210" s="279">
        <f>(5573740.3+226363.79)/1000*$I$5</f>
        <v>5800.1040899999998</v>
      </c>
      <c r="J210" s="279">
        <f t="shared" si="6"/>
        <v>5800.1040899999998</v>
      </c>
      <c r="K210" s="478"/>
      <c r="L210" s="295"/>
      <c r="M210" s="296"/>
    </row>
    <row r="211" spans="1:13" s="281" customFormat="1" ht="192" x14ac:dyDescent="0.2">
      <c r="A211" s="453"/>
      <c r="B211" s="453" t="s">
        <v>2639</v>
      </c>
      <c r="C211" s="484"/>
      <c r="D211" s="479" t="s">
        <v>2050</v>
      </c>
      <c r="E211" s="488" t="s">
        <v>2052</v>
      </c>
      <c r="F211" s="479" t="s">
        <v>2053</v>
      </c>
      <c r="G211" s="455" t="s">
        <v>15</v>
      </c>
      <c r="H211" s="455" t="s">
        <v>1520</v>
      </c>
      <c r="I211" s="279">
        <f>(6369318.04)/1000*$I$5</f>
        <v>6369.3180400000001</v>
      </c>
      <c r="J211" s="279">
        <f t="shared" si="6"/>
        <v>6369.3180400000001</v>
      </c>
      <c r="K211" s="478" t="s">
        <v>2051</v>
      </c>
      <c r="L211" s="295"/>
      <c r="M211" s="296"/>
    </row>
    <row r="212" spans="1:13" s="281" customFormat="1" ht="54" customHeight="1" x14ac:dyDescent="0.2">
      <c r="A212" s="453"/>
      <c r="B212" s="453" t="s">
        <v>435</v>
      </c>
      <c r="C212" s="484" t="s">
        <v>1616</v>
      </c>
      <c r="D212" s="630" t="s">
        <v>1233</v>
      </c>
      <c r="E212" s="298" t="s">
        <v>1613</v>
      </c>
      <c r="F212" s="299" t="s">
        <v>1611</v>
      </c>
      <c r="G212" s="300" t="s">
        <v>1522</v>
      </c>
      <c r="H212" s="300" t="s">
        <v>1614</v>
      </c>
      <c r="I212" s="301">
        <f>(428672.11)/1000*$I$5</f>
        <v>428.67210999999998</v>
      </c>
      <c r="J212" s="301">
        <f t="shared" si="6"/>
        <v>428.67210999999998</v>
      </c>
      <c r="K212" s="299" t="s">
        <v>1612</v>
      </c>
      <c r="L212" s="295"/>
      <c r="M212" s="296"/>
    </row>
    <row r="213" spans="1:13" s="281" customFormat="1" ht="54" customHeight="1" x14ac:dyDescent="0.2">
      <c r="A213" s="453"/>
      <c r="B213" s="453" t="s">
        <v>2640</v>
      </c>
      <c r="C213" s="632" t="s">
        <v>1707</v>
      </c>
      <c r="D213" s="630"/>
      <c r="E213" s="487" t="s">
        <v>1626</v>
      </c>
      <c r="F213" s="478" t="s">
        <v>1615</v>
      </c>
      <c r="G213" s="453" t="s">
        <v>1554</v>
      </c>
      <c r="H213" s="453" t="s">
        <v>15</v>
      </c>
      <c r="I213" s="311">
        <f>(1350000)/1000*$I$5</f>
        <v>1350</v>
      </c>
      <c r="J213" s="311">
        <f t="shared" si="6"/>
        <v>1350</v>
      </c>
      <c r="K213" s="299" t="s">
        <v>1612</v>
      </c>
      <c r="L213" s="295"/>
      <c r="M213" s="296"/>
    </row>
    <row r="214" spans="1:13" s="281" customFormat="1" ht="54" customHeight="1" x14ac:dyDescent="0.2">
      <c r="A214" s="453"/>
      <c r="B214" s="455" t="s">
        <v>2641</v>
      </c>
      <c r="C214" s="634"/>
      <c r="D214" s="630"/>
      <c r="E214" s="488" t="s">
        <v>1627</v>
      </c>
      <c r="F214" s="479" t="s">
        <v>1628</v>
      </c>
      <c r="G214" s="455" t="s">
        <v>1520</v>
      </c>
      <c r="H214" s="455" t="s">
        <v>1575</v>
      </c>
      <c r="I214" s="279">
        <f>(278107.34)/1000*$I$5</f>
        <v>278.10734000000002</v>
      </c>
      <c r="J214" s="279">
        <f t="shared" si="6"/>
        <v>278.10734000000002</v>
      </c>
      <c r="K214" s="478" t="s">
        <v>1629</v>
      </c>
      <c r="L214" s="295"/>
      <c r="M214" s="296"/>
    </row>
    <row r="215" spans="1:13" s="281" customFormat="1" ht="54" customHeight="1" x14ac:dyDescent="0.2">
      <c r="A215" s="453"/>
      <c r="B215" s="300" t="s">
        <v>437</v>
      </c>
      <c r="C215" s="484" t="s">
        <v>1708</v>
      </c>
      <c r="D215" s="630"/>
      <c r="E215" s="298" t="s">
        <v>1632</v>
      </c>
      <c r="F215" s="299" t="s">
        <v>1630</v>
      </c>
      <c r="G215" s="300" t="s">
        <v>1520</v>
      </c>
      <c r="H215" s="300" t="s">
        <v>1575</v>
      </c>
      <c r="I215" s="301">
        <f>(280018.29)/1000*$I$5</f>
        <v>280.01828999999998</v>
      </c>
      <c r="J215" s="301">
        <f t="shared" si="6"/>
        <v>280.01828999999998</v>
      </c>
      <c r="K215" s="478" t="s">
        <v>1629</v>
      </c>
      <c r="L215" s="295"/>
      <c r="M215" s="296"/>
    </row>
    <row r="216" spans="1:13" s="281" customFormat="1" ht="72" x14ac:dyDescent="0.2">
      <c r="A216" s="453"/>
      <c r="B216" s="300" t="s">
        <v>447</v>
      </c>
      <c r="C216" s="484" t="s">
        <v>1638</v>
      </c>
      <c r="D216" s="630"/>
      <c r="E216" s="487" t="s">
        <v>1637</v>
      </c>
      <c r="F216" s="478" t="s">
        <v>1639</v>
      </c>
      <c r="G216" s="453" t="s">
        <v>1636</v>
      </c>
      <c r="H216" s="453" t="s">
        <v>1527</v>
      </c>
      <c r="I216" s="301">
        <f>(530000)/1000*$I$5</f>
        <v>530</v>
      </c>
      <c r="J216" s="301">
        <f>I216-(0)/1000*$I$5</f>
        <v>530</v>
      </c>
      <c r="K216" s="478" t="s">
        <v>2946</v>
      </c>
      <c r="L216" s="295"/>
      <c r="M216" s="296"/>
    </row>
    <row r="217" spans="1:13" s="281" customFormat="1" ht="54" customHeight="1" x14ac:dyDescent="0.2">
      <c r="A217" s="453"/>
      <c r="B217" s="453" t="s">
        <v>2642</v>
      </c>
      <c r="C217" s="632" t="s">
        <v>1631</v>
      </c>
      <c r="D217" s="630"/>
      <c r="E217" s="298" t="s">
        <v>1634</v>
      </c>
      <c r="F217" s="299" t="s">
        <v>1633</v>
      </c>
      <c r="G217" s="300" t="s">
        <v>1635</v>
      </c>
      <c r="H217" s="300" t="s">
        <v>1636</v>
      </c>
      <c r="I217" s="301">
        <f>(852517.28)/1000*$I$5</f>
        <v>852.51728000000003</v>
      </c>
      <c r="J217" s="301">
        <f t="shared" si="6"/>
        <v>852.51728000000003</v>
      </c>
      <c r="K217" s="478" t="s">
        <v>371</v>
      </c>
      <c r="L217" s="295"/>
      <c r="M217" s="296"/>
    </row>
    <row r="218" spans="1:13" s="281" customFormat="1" ht="178.5" customHeight="1" x14ac:dyDescent="0.2">
      <c r="B218" s="453" t="s">
        <v>2643</v>
      </c>
      <c r="C218" s="633"/>
      <c r="D218" s="479" t="s">
        <v>2054</v>
      </c>
      <c r="E218" s="298" t="s">
        <v>2056</v>
      </c>
      <c r="F218" s="299" t="s">
        <v>2055</v>
      </c>
      <c r="G218" s="300" t="s">
        <v>598</v>
      </c>
      <c r="H218" s="300" t="s">
        <v>1643</v>
      </c>
      <c r="I218" s="301">
        <f>(42819564.42)/1000*$I$5</f>
        <v>42819.564420000002</v>
      </c>
      <c r="J218" s="301">
        <f>I218-(5186673+3973049+376243.4)/1000*$I$5</f>
        <v>33283.599020000001</v>
      </c>
      <c r="K218" s="478" t="s">
        <v>2051</v>
      </c>
      <c r="L218" s="295"/>
      <c r="M218" s="296"/>
    </row>
    <row r="219" spans="1:13" s="281" customFormat="1" ht="63.75" customHeight="1" x14ac:dyDescent="0.2">
      <c r="A219" s="453"/>
      <c r="B219" s="455" t="s">
        <v>450</v>
      </c>
      <c r="C219" s="483" t="s">
        <v>1650</v>
      </c>
      <c r="D219" s="630" t="s">
        <v>1651</v>
      </c>
      <c r="E219" s="487" t="s">
        <v>1652</v>
      </c>
      <c r="F219" s="478" t="s">
        <v>1649</v>
      </c>
      <c r="G219" s="453" t="s">
        <v>1559</v>
      </c>
      <c r="H219" s="453" t="s">
        <v>638</v>
      </c>
      <c r="I219" s="301">
        <f>(1874786+522698)/1000*$I$5</f>
        <v>2397.4839999999999</v>
      </c>
      <c r="J219" s="301">
        <f t="shared" si="6"/>
        <v>2397.4839999999999</v>
      </c>
      <c r="K219" s="478" t="s">
        <v>2947</v>
      </c>
      <c r="L219" s="295"/>
      <c r="M219" s="296"/>
    </row>
    <row r="220" spans="1:13" s="281" customFormat="1" ht="63.75" customHeight="1" x14ac:dyDescent="0.2">
      <c r="A220" s="453"/>
      <c r="B220" s="453" t="s">
        <v>543</v>
      </c>
      <c r="C220" s="484" t="s">
        <v>1660</v>
      </c>
      <c r="D220" s="630"/>
      <c r="E220" s="487" t="s">
        <v>1659</v>
      </c>
      <c r="F220" s="478" t="s">
        <v>1710</v>
      </c>
      <c r="G220" s="453" t="s">
        <v>1603</v>
      </c>
      <c r="H220" s="453" t="s">
        <v>1527</v>
      </c>
      <c r="I220" s="311">
        <f>(1428775.62)/1000*$I$5</f>
        <v>1428.7756200000001</v>
      </c>
      <c r="J220" s="311">
        <f t="shared" si="6"/>
        <v>1428.7756200000001</v>
      </c>
      <c r="K220" s="478" t="s">
        <v>1661</v>
      </c>
      <c r="L220" s="295"/>
      <c r="M220" s="296"/>
    </row>
    <row r="221" spans="1:13" s="281" customFormat="1" ht="144" x14ac:dyDescent="0.2">
      <c r="A221" s="453"/>
      <c r="B221" s="455" t="s">
        <v>2644</v>
      </c>
      <c r="C221" s="632" t="s">
        <v>3010</v>
      </c>
      <c r="D221" s="630"/>
      <c r="E221" s="487" t="s">
        <v>1653</v>
      </c>
      <c r="F221" s="478" t="s">
        <v>1654</v>
      </c>
      <c r="G221" s="453" t="s">
        <v>872</v>
      </c>
      <c r="H221" s="453" t="s">
        <v>638</v>
      </c>
      <c r="I221" s="311">
        <f>(861586.51)/1000*$I$5</f>
        <v>861.58650999999998</v>
      </c>
      <c r="J221" s="311">
        <f t="shared" si="6"/>
        <v>861.58650999999998</v>
      </c>
      <c r="K221" s="478" t="s">
        <v>2948</v>
      </c>
      <c r="L221" s="295"/>
      <c r="M221" s="296"/>
    </row>
    <row r="222" spans="1:13" s="281" customFormat="1" ht="84" x14ac:dyDescent="0.2">
      <c r="A222" s="453"/>
      <c r="B222" s="455" t="s">
        <v>2645</v>
      </c>
      <c r="C222" s="634"/>
      <c r="D222" s="479"/>
      <c r="E222" s="487" t="s">
        <v>1656</v>
      </c>
      <c r="F222" s="478" t="s">
        <v>2027</v>
      </c>
      <c r="G222" s="453" t="s">
        <v>1526</v>
      </c>
      <c r="H222" s="453" t="s">
        <v>1527</v>
      </c>
      <c r="I222" s="311">
        <f>(1707694.38)/1000*$I$5</f>
        <v>1707.6943799999999</v>
      </c>
      <c r="J222" s="311">
        <f t="shared" si="6"/>
        <v>1707.6943799999999</v>
      </c>
      <c r="K222" s="299" t="s">
        <v>1709</v>
      </c>
      <c r="L222" s="295"/>
      <c r="M222" s="296"/>
    </row>
    <row r="223" spans="1:13" s="281" customFormat="1" ht="72" x14ac:dyDescent="0.2">
      <c r="A223" s="453"/>
      <c r="B223" s="455" t="s">
        <v>2646</v>
      </c>
      <c r="C223" s="634"/>
      <c r="D223" s="479"/>
      <c r="E223" s="487" t="s">
        <v>1657</v>
      </c>
      <c r="F223" s="478" t="s">
        <v>2028</v>
      </c>
      <c r="G223" s="453" t="s">
        <v>1636</v>
      </c>
      <c r="H223" s="453" t="s">
        <v>1527</v>
      </c>
      <c r="I223" s="311">
        <f>(1095766.35)/1000*$I$5</f>
        <v>1095.7663500000001</v>
      </c>
      <c r="J223" s="311">
        <f t="shared" si="6"/>
        <v>1095.7663500000001</v>
      </c>
      <c r="K223" s="478"/>
      <c r="L223" s="295"/>
      <c r="M223" s="296"/>
    </row>
    <row r="224" spans="1:13" s="281" customFormat="1" ht="72" x14ac:dyDescent="0.2">
      <c r="A224" s="453"/>
      <c r="B224" s="455" t="s">
        <v>2647</v>
      </c>
      <c r="C224" s="634"/>
      <c r="D224" s="479"/>
      <c r="E224" s="487" t="s">
        <v>1658</v>
      </c>
      <c r="F224" s="478" t="s">
        <v>2026</v>
      </c>
      <c r="G224" s="453" t="s">
        <v>1636</v>
      </c>
      <c r="H224" s="453" t="s">
        <v>1527</v>
      </c>
      <c r="I224" s="311">
        <f>(1457636.91)/1000*$I$5</f>
        <v>1457.6369099999999</v>
      </c>
      <c r="J224" s="311">
        <f t="shared" si="6"/>
        <v>1457.6369099999999</v>
      </c>
      <c r="K224" s="478" t="s">
        <v>2949</v>
      </c>
      <c r="L224" s="295"/>
      <c r="M224" s="296"/>
    </row>
    <row r="225" spans="1:13" s="281" customFormat="1" ht="174.75" customHeight="1" x14ac:dyDescent="0.2">
      <c r="A225" s="300"/>
      <c r="B225" s="455" t="s">
        <v>2648</v>
      </c>
      <c r="C225" s="634"/>
      <c r="D225" s="479" t="s">
        <v>2025</v>
      </c>
      <c r="E225" s="487" t="s">
        <v>3088</v>
      </c>
      <c r="F225" s="478" t="s">
        <v>2024</v>
      </c>
      <c r="G225" s="453" t="s">
        <v>22</v>
      </c>
      <c r="H225" s="453" t="s">
        <v>638</v>
      </c>
      <c r="I225" s="311">
        <f>(33250583+12019929+3070000)/1000*$I$5</f>
        <v>48340.512000000002</v>
      </c>
      <c r="J225" s="311">
        <f>I225-(105595+2427875+3290720+2728228)/1000*$I$5</f>
        <v>39788.094000000005</v>
      </c>
      <c r="K225" s="478" t="s">
        <v>2950</v>
      </c>
      <c r="L225" s="295"/>
      <c r="M225" s="296"/>
    </row>
    <row r="226" spans="1:13" s="281" customFormat="1" ht="174.75" customHeight="1" x14ac:dyDescent="0.2">
      <c r="A226" s="453"/>
      <c r="B226" s="455" t="s">
        <v>2649</v>
      </c>
      <c r="C226" s="634"/>
      <c r="D226" s="479" t="s">
        <v>2061</v>
      </c>
      <c r="E226" s="487" t="s">
        <v>2062</v>
      </c>
      <c r="F226" s="478" t="s">
        <v>2063</v>
      </c>
      <c r="G226" s="453" t="s">
        <v>598</v>
      </c>
      <c r="H226" s="453" t="s">
        <v>1559</v>
      </c>
      <c r="I226" s="311">
        <f>(2228159)/1000*$I$5</f>
        <v>2228.1590000000001</v>
      </c>
      <c r="J226" s="311">
        <f>I226-(0)/1000*$I$5</f>
        <v>2228.1590000000001</v>
      </c>
      <c r="K226" s="478" t="s">
        <v>2051</v>
      </c>
      <c r="L226" s="295"/>
      <c r="M226" s="296"/>
    </row>
    <row r="227" spans="1:13" s="436" customFormat="1" ht="144" x14ac:dyDescent="0.2">
      <c r="A227" s="430"/>
      <c r="B227" s="431" t="s">
        <v>3063</v>
      </c>
      <c r="C227" s="634"/>
      <c r="D227" s="492" t="s">
        <v>3062</v>
      </c>
      <c r="E227" s="432" t="s">
        <v>3011</v>
      </c>
      <c r="F227" s="490" t="s">
        <v>3017</v>
      </c>
      <c r="G227" s="430" t="s">
        <v>1742</v>
      </c>
      <c r="H227" s="430" t="s">
        <v>2245</v>
      </c>
      <c r="I227" s="433">
        <f>3200000*$J$5/1000</f>
        <v>3200</v>
      </c>
      <c r="J227" s="433">
        <f t="shared" ref="J227:J232" si="7">I227-(0)/1000*$J$5</f>
        <v>3200</v>
      </c>
      <c r="K227" s="490"/>
      <c r="L227" s="434"/>
      <c r="M227" s="435"/>
    </row>
    <row r="228" spans="1:13" s="436" customFormat="1" ht="144" x14ac:dyDescent="0.2">
      <c r="A228" s="430"/>
      <c r="B228" s="431" t="s">
        <v>3064</v>
      </c>
      <c r="C228" s="634"/>
      <c r="D228" s="492" t="s">
        <v>3009</v>
      </c>
      <c r="E228" s="432" t="s">
        <v>3012</v>
      </c>
      <c r="F228" s="490" t="s">
        <v>3018</v>
      </c>
      <c r="G228" s="430" t="s">
        <v>1943</v>
      </c>
      <c r="H228" s="430" t="s">
        <v>2245</v>
      </c>
      <c r="I228" s="433">
        <f>3500000*$J$5/1000</f>
        <v>3500</v>
      </c>
      <c r="J228" s="433">
        <f t="shared" si="7"/>
        <v>3500</v>
      </c>
      <c r="K228" s="490"/>
      <c r="L228" s="434"/>
      <c r="M228" s="435"/>
    </row>
    <row r="229" spans="1:13" s="436" customFormat="1" ht="156" x14ac:dyDescent="0.2">
      <c r="A229" s="430"/>
      <c r="B229" s="431" t="s">
        <v>3065</v>
      </c>
      <c r="C229" s="634"/>
      <c r="D229" s="492"/>
      <c r="E229" s="432" t="s">
        <v>3013</v>
      </c>
      <c r="F229" s="490" t="s">
        <v>3019</v>
      </c>
      <c r="G229" s="430" t="s">
        <v>1943</v>
      </c>
      <c r="H229" s="430" t="s">
        <v>2245</v>
      </c>
      <c r="I229" s="433">
        <f>2350000*$J$5/1000</f>
        <v>2350</v>
      </c>
      <c r="J229" s="433">
        <f t="shared" si="7"/>
        <v>2350</v>
      </c>
      <c r="K229" s="490"/>
      <c r="L229" s="434"/>
      <c r="M229" s="435"/>
    </row>
    <row r="230" spans="1:13" s="436" customFormat="1" ht="144" x14ac:dyDescent="0.2">
      <c r="A230" s="430"/>
      <c r="B230" s="431" t="s">
        <v>3066</v>
      </c>
      <c r="C230" s="634"/>
      <c r="D230" s="492"/>
      <c r="E230" s="432" t="s">
        <v>3014</v>
      </c>
      <c r="F230" s="490" t="s">
        <v>3020</v>
      </c>
      <c r="G230" s="430" t="s">
        <v>1943</v>
      </c>
      <c r="H230" s="430" t="s">
        <v>2245</v>
      </c>
      <c r="I230" s="433">
        <f>2000000*$J$5/1000</f>
        <v>2000</v>
      </c>
      <c r="J230" s="433">
        <f t="shared" si="7"/>
        <v>2000</v>
      </c>
      <c r="K230" s="490"/>
      <c r="L230" s="434"/>
      <c r="M230" s="435"/>
    </row>
    <row r="231" spans="1:13" s="436" customFormat="1" ht="96" x14ac:dyDescent="0.2">
      <c r="A231" s="430"/>
      <c r="B231" s="431" t="s">
        <v>3067</v>
      </c>
      <c r="C231" s="634"/>
      <c r="D231" s="492"/>
      <c r="E231" s="432" t="s">
        <v>3015</v>
      </c>
      <c r="F231" s="490" t="s">
        <v>3021</v>
      </c>
      <c r="G231" s="430" t="s">
        <v>3023</v>
      </c>
      <c r="H231" s="430" t="s">
        <v>2245</v>
      </c>
      <c r="I231" s="433">
        <f>2800000*$J$5/1000</f>
        <v>2800</v>
      </c>
      <c r="J231" s="433">
        <f t="shared" si="7"/>
        <v>2800</v>
      </c>
      <c r="K231" s="490"/>
      <c r="L231" s="434"/>
      <c r="M231" s="435"/>
    </row>
    <row r="232" spans="1:13" s="436" customFormat="1" ht="36" x14ac:dyDescent="0.2">
      <c r="A232" s="430"/>
      <c r="B232" s="431" t="s">
        <v>3068</v>
      </c>
      <c r="C232" s="633"/>
      <c r="D232" s="492"/>
      <c r="E232" s="432" t="s">
        <v>3016</v>
      </c>
      <c r="F232" s="490" t="s">
        <v>3022</v>
      </c>
      <c r="G232" s="430" t="s">
        <v>3023</v>
      </c>
      <c r="H232" s="430" t="s">
        <v>2982</v>
      </c>
      <c r="I232" s="433">
        <f>250000*$J$5/1000</f>
        <v>250</v>
      </c>
      <c r="J232" s="433">
        <f t="shared" si="7"/>
        <v>250</v>
      </c>
      <c r="K232" s="490"/>
      <c r="L232" s="434"/>
      <c r="M232" s="435"/>
    </row>
    <row r="233" spans="1:13" s="436" customFormat="1" ht="12.75" hidden="1" x14ac:dyDescent="0.2">
      <c r="A233" s="430"/>
      <c r="B233" s="431"/>
      <c r="C233" s="508"/>
      <c r="D233" s="492"/>
      <c r="E233" s="432"/>
      <c r="F233" s="490"/>
      <c r="G233" s="430"/>
      <c r="H233" s="430"/>
      <c r="I233" s="433"/>
      <c r="J233" s="433"/>
      <c r="K233" s="490"/>
      <c r="L233" s="434"/>
      <c r="M233" s="435"/>
    </row>
    <row r="234" spans="1:13" s="436" customFormat="1" ht="12.75" hidden="1" x14ac:dyDescent="0.2">
      <c r="A234" s="430"/>
      <c r="B234" s="431"/>
      <c r="C234" s="508"/>
      <c r="D234" s="492"/>
      <c r="E234" s="432"/>
      <c r="F234" s="490"/>
      <c r="G234" s="430"/>
      <c r="H234" s="430"/>
      <c r="I234" s="433"/>
      <c r="J234" s="433"/>
      <c r="K234" s="490"/>
      <c r="L234" s="434"/>
      <c r="M234" s="435"/>
    </row>
    <row r="235" spans="1:13" s="436" customFormat="1" ht="12.75" hidden="1" x14ac:dyDescent="0.2">
      <c r="A235" s="430"/>
      <c r="B235" s="431"/>
      <c r="C235" s="508"/>
      <c r="D235" s="492"/>
      <c r="E235" s="432"/>
      <c r="F235" s="490"/>
      <c r="G235" s="430"/>
      <c r="H235" s="430"/>
      <c r="I235" s="433"/>
      <c r="J235" s="433"/>
      <c r="K235" s="490"/>
      <c r="L235" s="434"/>
      <c r="M235" s="435"/>
    </row>
    <row r="236" spans="1:13" s="436" customFormat="1" ht="12.75" hidden="1" x14ac:dyDescent="0.2">
      <c r="A236" s="430"/>
      <c r="B236" s="431"/>
      <c r="C236" s="508"/>
      <c r="D236" s="492"/>
      <c r="E236" s="432"/>
      <c r="F236" s="490"/>
      <c r="G236" s="430"/>
      <c r="H236" s="430"/>
      <c r="I236" s="433"/>
      <c r="J236" s="433"/>
      <c r="K236" s="490"/>
      <c r="L236" s="434"/>
      <c r="M236" s="435"/>
    </row>
    <row r="237" spans="1:13" ht="39" customHeight="1" x14ac:dyDescent="0.2">
      <c r="A237" s="250" t="s">
        <v>417</v>
      </c>
      <c r="B237" s="453" t="s">
        <v>1255</v>
      </c>
      <c r="C237" s="607" t="s">
        <v>390</v>
      </c>
      <c r="D237" s="611" t="s">
        <v>1245</v>
      </c>
      <c r="E237" s="220"/>
      <c r="F237" s="471"/>
      <c r="G237" s="467"/>
      <c r="H237" s="467"/>
      <c r="I237" s="196"/>
      <c r="J237" s="196"/>
      <c r="K237" s="471"/>
      <c r="L237" s="221"/>
      <c r="M237" s="248"/>
    </row>
    <row r="238" spans="1:13" ht="55.5" customHeight="1" x14ac:dyDescent="0.2">
      <c r="A238" s="56" t="s">
        <v>418</v>
      </c>
      <c r="B238" s="455" t="s">
        <v>678</v>
      </c>
      <c r="C238" s="608"/>
      <c r="D238" s="612"/>
      <c r="E238" s="226" t="s">
        <v>388</v>
      </c>
      <c r="F238" s="472" t="s">
        <v>1236</v>
      </c>
      <c r="G238" s="187" t="s">
        <v>389</v>
      </c>
      <c r="H238" s="187" t="s">
        <v>126</v>
      </c>
      <c r="I238" s="188">
        <f>(46178318)/1000*$I$5</f>
        <v>46178.317999999999</v>
      </c>
      <c r="J238" s="188">
        <f>I238-(1471085+2237239+429854+2062761)/1000*$I$5</f>
        <v>39977.379000000001</v>
      </c>
      <c r="K238" s="472" t="s">
        <v>537</v>
      </c>
      <c r="L238" s="224"/>
      <c r="M238" s="248" t="s">
        <v>388</v>
      </c>
    </row>
    <row r="239" spans="1:13" ht="76.5" customHeight="1" x14ac:dyDescent="0.2">
      <c r="A239" s="56" t="s">
        <v>421</v>
      </c>
      <c r="B239" s="455" t="s">
        <v>679</v>
      </c>
      <c r="C239" s="472" t="s">
        <v>1017</v>
      </c>
      <c r="D239" s="612"/>
      <c r="E239" s="226" t="s">
        <v>401</v>
      </c>
      <c r="F239" s="472" t="s">
        <v>1237</v>
      </c>
      <c r="G239" s="187" t="s">
        <v>177</v>
      </c>
      <c r="H239" s="187" t="s">
        <v>177</v>
      </c>
      <c r="I239" s="188">
        <f>(1750000)/1000*$I$5</f>
        <v>1750</v>
      </c>
      <c r="J239" s="188">
        <f>I239-(0)/1000*$I$5</f>
        <v>1750</v>
      </c>
      <c r="K239" s="473" t="s">
        <v>386</v>
      </c>
      <c r="L239" s="266"/>
      <c r="M239" s="248" t="s">
        <v>401</v>
      </c>
    </row>
    <row r="240" spans="1:13" s="319" customFormat="1" ht="120" customHeight="1" x14ac:dyDescent="0.2">
      <c r="A240" s="455" t="s">
        <v>1669</v>
      </c>
      <c r="B240" s="455" t="s">
        <v>2650</v>
      </c>
      <c r="C240" s="483"/>
      <c r="D240" s="479" t="s">
        <v>1680</v>
      </c>
      <c r="E240" s="488" t="s">
        <v>1672</v>
      </c>
      <c r="F240" s="479" t="s">
        <v>1671</v>
      </c>
      <c r="G240" s="412" t="s">
        <v>1554</v>
      </c>
      <c r="H240" s="412" t="s">
        <v>1586</v>
      </c>
      <c r="I240" s="314">
        <f>(3263657)/1000*$I$5</f>
        <v>3263.6570000000002</v>
      </c>
      <c r="J240" s="314">
        <f>I240-(932389.33)/1000*$I$5</f>
        <v>2331.2676700000002</v>
      </c>
      <c r="K240" s="480" t="s">
        <v>2942</v>
      </c>
      <c r="L240" s="317"/>
      <c r="M240" s="318"/>
    </row>
    <row r="241" spans="1:13" ht="108" customHeight="1" x14ac:dyDescent="0.2">
      <c r="A241" s="112" t="s">
        <v>434</v>
      </c>
      <c r="B241" s="300" t="s">
        <v>680</v>
      </c>
      <c r="C241" s="4" t="s">
        <v>1238</v>
      </c>
      <c r="D241" s="612" t="s">
        <v>1670</v>
      </c>
      <c r="E241" s="192" t="s">
        <v>411</v>
      </c>
      <c r="F241" s="66" t="s">
        <v>1278</v>
      </c>
      <c r="G241" s="468" t="s">
        <v>126</v>
      </c>
      <c r="H241" s="468" t="s">
        <v>8</v>
      </c>
      <c r="I241" s="193">
        <f>(900000)/1000*$I$5</f>
        <v>900</v>
      </c>
      <c r="J241" s="193">
        <f>I241-(0)/1000*$I$5</f>
        <v>900</v>
      </c>
      <c r="K241" s="473" t="s">
        <v>405</v>
      </c>
      <c r="L241" s="228"/>
      <c r="M241" s="248" t="s">
        <v>411</v>
      </c>
    </row>
    <row r="242" spans="1:13" ht="50.25" customHeight="1" x14ac:dyDescent="0.2">
      <c r="A242" s="75" t="s">
        <v>1239</v>
      </c>
      <c r="B242" s="300" t="s">
        <v>682</v>
      </c>
      <c r="C242" s="470" t="s">
        <v>406</v>
      </c>
      <c r="D242" s="612"/>
      <c r="E242" s="192" t="s">
        <v>412</v>
      </c>
      <c r="F242" s="66" t="s">
        <v>1240</v>
      </c>
      <c r="G242" s="77" t="s">
        <v>410</v>
      </c>
      <c r="H242" s="77" t="s">
        <v>410</v>
      </c>
      <c r="I242" s="193">
        <f>(840000)/1000*$I$5</f>
        <v>840</v>
      </c>
      <c r="J242" s="193">
        <f t="shared" ref="J242:J249" si="8">I242-(0)/1000*$I$5</f>
        <v>840</v>
      </c>
      <c r="K242" s="66" t="s">
        <v>409</v>
      </c>
      <c r="L242" s="78"/>
      <c r="M242" s="60" t="s">
        <v>412</v>
      </c>
    </row>
    <row r="243" spans="1:13" ht="48" x14ac:dyDescent="0.2">
      <c r="A243" s="75" t="s">
        <v>435</v>
      </c>
      <c r="B243" s="300" t="s">
        <v>683</v>
      </c>
      <c r="C243" s="469" t="s">
        <v>413</v>
      </c>
      <c r="D243" s="612"/>
      <c r="E243" s="192" t="s">
        <v>425</v>
      </c>
      <c r="F243" s="66" t="s">
        <v>1241</v>
      </c>
      <c r="G243" s="77" t="s">
        <v>12</v>
      </c>
      <c r="H243" s="77" t="s">
        <v>52</v>
      </c>
      <c r="I243" s="193">
        <f>(1150000)/1000*$I$5</f>
        <v>1150</v>
      </c>
      <c r="J243" s="193">
        <f t="shared" si="8"/>
        <v>1150</v>
      </c>
      <c r="K243" s="66" t="s">
        <v>414</v>
      </c>
      <c r="L243" s="78"/>
      <c r="M243" s="60" t="s">
        <v>425</v>
      </c>
    </row>
    <row r="244" spans="1:13" ht="48" x14ac:dyDescent="0.2">
      <c r="A244" s="56" t="s">
        <v>436</v>
      </c>
      <c r="B244" s="455" t="s">
        <v>2651</v>
      </c>
      <c r="C244" s="469" t="s">
        <v>1664</v>
      </c>
      <c r="D244" s="612"/>
      <c r="E244" s="226" t="s">
        <v>424</v>
      </c>
      <c r="F244" s="472" t="s">
        <v>1243</v>
      </c>
      <c r="G244" s="187" t="s">
        <v>12</v>
      </c>
      <c r="H244" s="187" t="s">
        <v>52</v>
      </c>
      <c r="I244" s="188">
        <f>(1291000)/1000*$I$5</f>
        <v>1291</v>
      </c>
      <c r="J244" s="188">
        <f t="shared" si="8"/>
        <v>1291</v>
      </c>
      <c r="K244" s="472" t="s">
        <v>422</v>
      </c>
      <c r="L244" s="224"/>
      <c r="M244" s="60" t="s">
        <v>424</v>
      </c>
    </row>
    <row r="245" spans="1:13" ht="54" customHeight="1" x14ac:dyDescent="0.2">
      <c r="A245" s="75" t="s">
        <v>437</v>
      </c>
      <c r="B245" s="455" t="s">
        <v>2652</v>
      </c>
      <c r="C245" s="469" t="s">
        <v>1665</v>
      </c>
      <c r="D245" s="613"/>
      <c r="E245" s="267" t="s">
        <v>423</v>
      </c>
      <c r="F245" s="473" t="s">
        <v>1244</v>
      </c>
      <c r="G245" s="468" t="s">
        <v>49</v>
      </c>
      <c r="H245" s="468" t="s">
        <v>52</v>
      </c>
      <c r="I245" s="193">
        <f>(1227945)/1000*$I$5</f>
        <v>1227.9449999999999</v>
      </c>
      <c r="J245" s="193">
        <f t="shared" si="8"/>
        <v>1227.9449999999999</v>
      </c>
      <c r="K245" s="473" t="s">
        <v>422</v>
      </c>
      <c r="L245" s="266"/>
      <c r="M245" s="60" t="s">
        <v>423</v>
      </c>
    </row>
    <row r="246" spans="1:13" s="281" customFormat="1" ht="114.75" customHeight="1" x14ac:dyDescent="0.2">
      <c r="A246" s="412" t="s">
        <v>1673</v>
      </c>
      <c r="B246" s="455" t="s">
        <v>2653</v>
      </c>
      <c r="C246" s="479" t="s">
        <v>1664</v>
      </c>
      <c r="D246" s="479" t="s">
        <v>1246</v>
      </c>
      <c r="E246" s="488" t="s">
        <v>1662</v>
      </c>
      <c r="F246" s="479" t="s">
        <v>1663</v>
      </c>
      <c r="G246" s="412" t="s">
        <v>21</v>
      </c>
      <c r="H246" s="412" t="s">
        <v>1666</v>
      </c>
      <c r="I246" s="314">
        <f>(7484770)/1000*$I$5</f>
        <v>7484.77</v>
      </c>
      <c r="J246" s="314">
        <f>I246-(2554000+832640)/1000*$I$5</f>
        <v>4098.130000000001</v>
      </c>
      <c r="K246" s="480"/>
      <c r="L246" s="316"/>
    </row>
    <row r="247" spans="1:13" s="281" customFormat="1" ht="113.25" customHeight="1" x14ac:dyDescent="0.2">
      <c r="A247" s="412" t="s">
        <v>1674</v>
      </c>
      <c r="B247" s="412" t="s">
        <v>2654</v>
      </c>
      <c r="C247" s="479"/>
      <c r="D247" s="479" t="s">
        <v>1680</v>
      </c>
      <c r="E247" s="488" t="s">
        <v>1668</v>
      </c>
      <c r="F247" s="479" t="s">
        <v>1667</v>
      </c>
      <c r="G247" s="412" t="s">
        <v>1554</v>
      </c>
      <c r="H247" s="412" t="s">
        <v>638</v>
      </c>
      <c r="I247" s="314">
        <f>(17489503.24+1753630.42+5107274.05)/1000*$I$5</f>
        <v>24350.407709999996</v>
      </c>
      <c r="J247" s="314">
        <f>I247-(3343312+3670183.03+76931+836694.29+1273822.91+121348.95)/1000*$I$5</f>
        <v>15028.115529999997</v>
      </c>
      <c r="K247" s="480"/>
      <c r="L247" s="316"/>
    </row>
    <row r="248" spans="1:13" ht="117" customHeight="1" x14ac:dyDescent="0.2">
      <c r="A248" s="75" t="s">
        <v>447</v>
      </c>
      <c r="B248" s="455" t="s">
        <v>2655</v>
      </c>
      <c r="C248" s="607" t="s">
        <v>1675</v>
      </c>
      <c r="D248" s="320" t="s">
        <v>1246</v>
      </c>
      <c r="E248" s="267" t="s">
        <v>429</v>
      </c>
      <c r="F248" s="473" t="s">
        <v>1279</v>
      </c>
      <c r="G248" s="77" t="s">
        <v>427</v>
      </c>
      <c r="H248" s="77" t="s">
        <v>5</v>
      </c>
      <c r="I248" s="193">
        <f>(550000)/1000*$I$5</f>
        <v>550</v>
      </c>
      <c r="J248" s="193">
        <f t="shared" si="8"/>
        <v>550</v>
      </c>
      <c r="K248" s="66" t="s">
        <v>428</v>
      </c>
      <c r="L248" s="78"/>
      <c r="M248" s="60" t="s">
        <v>429</v>
      </c>
    </row>
    <row r="249" spans="1:13" s="281" customFormat="1" ht="114" customHeight="1" x14ac:dyDescent="0.2">
      <c r="A249" s="412"/>
      <c r="B249" s="455" t="s">
        <v>2656</v>
      </c>
      <c r="C249" s="628"/>
      <c r="D249" s="479" t="s">
        <v>1680</v>
      </c>
      <c r="E249" s="488" t="s">
        <v>1676</v>
      </c>
      <c r="F249" s="479" t="s">
        <v>1678</v>
      </c>
      <c r="G249" s="453" t="s">
        <v>1677</v>
      </c>
      <c r="H249" s="453" t="s">
        <v>1603</v>
      </c>
      <c r="I249" s="279">
        <f>(2242627.97+94150.82)/1000*$I$5</f>
        <v>2336.7787899999998</v>
      </c>
      <c r="J249" s="314">
        <f t="shared" si="8"/>
        <v>2336.7787899999998</v>
      </c>
      <c r="K249" s="299" t="s">
        <v>1679</v>
      </c>
      <c r="L249" s="303"/>
    </row>
    <row r="250" spans="1:13" s="281" customFormat="1" ht="84" x14ac:dyDescent="0.2">
      <c r="A250" s="412"/>
      <c r="B250" s="455" t="s">
        <v>3032</v>
      </c>
      <c r="C250" s="470"/>
      <c r="D250" s="479"/>
      <c r="E250" s="441" t="s">
        <v>3029</v>
      </c>
      <c r="F250" s="492" t="s">
        <v>3030</v>
      </c>
      <c r="G250" s="430" t="s">
        <v>1596</v>
      </c>
      <c r="H250" s="430" t="s">
        <v>1944</v>
      </c>
      <c r="I250" s="440">
        <f>950000*$J$5/1000</f>
        <v>950</v>
      </c>
      <c r="J250" s="440">
        <f>I250-(285000)/1000*$J$5</f>
        <v>665</v>
      </c>
      <c r="K250" s="299" t="s">
        <v>3031</v>
      </c>
      <c r="L250" s="303"/>
    </row>
    <row r="251" spans="1:13" s="281" customFormat="1" ht="108.75" customHeight="1" x14ac:dyDescent="0.2">
      <c r="A251" s="412"/>
      <c r="B251" s="300" t="s">
        <v>688</v>
      </c>
      <c r="C251" s="632" t="s">
        <v>1682</v>
      </c>
      <c r="D251" s="479"/>
      <c r="E251" s="488" t="s">
        <v>1686</v>
      </c>
      <c r="F251" s="479" t="s">
        <v>1681</v>
      </c>
      <c r="G251" s="453" t="s">
        <v>1677</v>
      </c>
      <c r="H251" s="439" t="s">
        <v>3025</v>
      </c>
      <c r="I251" s="506">
        <f>(5500000)/1000*$I$5</f>
        <v>5500</v>
      </c>
      <c r="J251" s="301">
        <f>I251-(800000+67796.61)/1000*$I$5</f>
        <v>4632.2033899999997</v>
      </c>
      <c r="K251" s="299" t="s">
        <v>2657</v>
      </c>
      <c r="L251" s="303"/>
    </row>
    <row r="252" spans="1:13" s="436" customFormat="1" ht="48.75" customHeight="1" x14ac:dyDescent="0.2">
      <c r="A252" s="442"/>
      <c r="B252" s="444" t="s">
        <v>3059</v>
      </c>
      <c r="C252" s="633"/>
      <c r="D252" s="492"/>
      <c r="E252" s="441" t="s">
        <v>3057</v>
      </c>
      <c r="F252" s="492" t="s">
        <v>3058</v>
      </c>
      <c r="G252" s="430" t="s">
        <v>1743</v>
      </c>
      <c r="H252" s="439" t="s">
        <v>3060</v>
      </c>
      <c r="I252" s="440">
        <f>(664753.71)/1000*$J$5</f>
        <v>664.75370999999996</v>
      </c>
      <c r="J252" s="314">
        <f>I252-(0)/1000*$J$5</f>
        <v>664.75370999999996</v>
      </c>
      <c r="K252" s="507"/>
      <c r="L252" s="443"/>
    </row>
    <row r="253" spans="1:13" s="281" customFormat="1" ht="145.5" customHeight="1" x14ac:dyDescent="0.2">
      <c r="A253" s="412"/>
      <c r="B253" s="300" t="s">
        <v>689</v>
      </c>
      <c r="C253" s="481" t="s">
        <v>1685</v>
      </c>
      <c r="D253" s="479"/>
      <c r="E253" s="488" t="s">
        <v>1687</v>
      </c>
      <c r="F253" s="479" t="s">
        <v>1684</v>
      </c>
      <c r="G253" s="453" t="s">
        <v>872</v>
      </c>
      <c r="H253" s="321" t="s">
        <v>1643</v>
      </c>
      <c r="I253" s="301">
        <f>(482118.81+369191.02)/1000*$I$5</f>
        <v>851.30983000000003</v>
      </c>
      <c r="J253" s="314">
        <f>I253-(220506.83)/1000*$I$5</f>
        <v>630.80300000000011</v>
      </c>
      <c r="K253" s="299" t="s">
        <v>2658</v>
      </c>
      <c r="L253" s="303"/>
    </row>
    <row r="254" spans="1:13" s="281" customFormat="1" ht="120" x14ac:dyDescent="0.2">
      <c r="A254" s="412"/>
      <c r="B254" s="300" t="s">
        <v>690</v>
      </c>
      <c r="C254" s="481" t="s">
        <v>1688</v>
      </c>
      <c r="D254" s="479"/>
      <c r="E254" s="488" t="s">
        <v>1693</v>
      </c>
      <c r="F254" s="479" t="s">
        <v>1711</v>
      </c>
      <c r="G254" s="453" t="s">
        <v>872</v>
      </c>
      <c r="H254" s="439" t="s">
        <v>3026</v>
      </c>
      <c r="I254" s="506">
        <f>(3900000)/1000*$I$5</f>
        <v>3900</v>
      </c>
      <c r="J254" s="438">
        <f>I254-(59000+508474.58)/1000*$I$5</f>
        <v>3332.5254199999999</v>
      </c>
      <c r="K254" s="299" t="s">
        <v>1712</v>
      </c>
      <c r="L254" s="303"/>
    </row>
    <row r="255" spans="1:13" s="281" customFormat="1" ht="96" x14ac:dyDescent="0.2">
      <c r="A255" s="412"/>
      <c r="B255" s="300" t="s">
        <v>691</v>
      </c>
      <c r="C255" s="481" t="s">
        <v>1699</v>
      </c>
      <c r="D255" s="479"/>
      <c r="E255" s="488" t="s">
        <v>1700</v>
      </c>
      <c r="F255" s="479" t="s">
        <v>1698</v>
      </c>
      <c r="G255" s="453" t="s">
        <v>1579</v>
      </c>
      <c r="H255" s="321" t="s">
        <v>3027</v>
      </c>
      <c r="I255" s="279">
        <f>(6964214.86)/1000*$I$5</f>
        <v>6964.21486</v>
      </c>
      <c r="J255" s="314">
        <f>I255-(800000+59322.03+170000)/1000*$I$5</f>
        <v>5934.8928299999998</v>
      </c>
      <c r="K255" s="299" t="s">
        <v>1724</v>
      </c>
      <c r="L255" s="303"/>
    </row>
    <row r="256" spans="1:13" s="281" customFormat="1" ht="120" x14ac:dyDescent="0.2">
      <c r="A256" s="412"/>
      <c r="B256" s="455" t="s">
        <v>2659</v>
      </c>
      <c r="C256" s="632" t="s">
        <v>1726</v>
      </c>
      <c r="D256" s="479"/>
      <c r="E256" s="488" t="s">
        <v>1722</v>
      </c>
      <c r="F256" s="479" t="s">
        <v>1723</v>
      </c>
      <c r="G256" s="453" t="s">
        <v>1677</v>
      </c>
      <c r="H256" s="321" t="s">
        <v>3028</v>
      </c>
      <c r="I256" s="301">
        <f>(7800000)/1000*$I$5</f>
        <v>7800</v>
      </c>
      <c r="J256" s="314">
        <f>I256-(520000+400024)/1000*$I$5</f>
        <v>6879.9759999999997</v>
      </c>
      <c r="K256" s="299" t="s">
        <v>1725</v>
      </c>
      <c r="L256" s="303"/>
    </row>
    <row r="257" spans="1:13" s="436" customFormat="1" ht="120" x14ac:dyDescent="0.2">
      <c r="A257" s="442"/>
      <c r="B257" s="431" t="s">
        <v>2660</v>
      </c>
      <c r="C257" s="634"/>
      <c r="D257" s="492"/>
      <c r="E257" s="441" t="s">
        <v>3034</v>
      </c>
      <c r="F257" s="492" t="s">
        <v>3035</v>
      </c>
      <c r="G257" s="430" t="s">
        <v>3038</v>
      </c>
      <c r="H257" s="439" t="s">
        <v>3039</v>
      </c>
      <c r="I257" s="506">
        <f>2050000*$J$5/1000</f>
        <v>2050</v>
      </c>
      <c r="J257" s="438">
        <f>I257-(140000)/1000*$I$5</f>
        <v>1910</v>
      </c>
      <c r="K257" s="507" t="s">
        <v>3036</v>
      </c>
      <c r="L257" s="443"/>
    </row>
    <row r="258" spans="1:13" s="281" customFormat="1" ht="96" x14ac:dyDescent="0.2">
      <c r="A258" s="412"/>
      <c r="B258" s="455" t="s">
        <v>3033</v>
      </c>
      <c r="C258" s="633"/>
      <c r="D258" s="479" t="s">
        <v>2214</v>
      </c>
      <c r="E258" s="488" t="s">
        <v>2215</v>
      </c>
      <c r="F258" s="479" t="s">
        <v>2216</v>
      </c>
      <c r="G258" s="453" t="s">
        <v>15</v>
      </c>
      <c r="H258" s="321" t="s">
        <v>598</v>
      </c>
      <c r="I258" s="279">
        <f>(875464)/1000*$I$5</f>
        <v>875.46400000000006</v>
      </c>
      <c r="J258" s="314">
        <f>I258-(0)/1000*$I$5</f>
        <v>875.46400000000006</v>
      </c>
      <c r="K258" s="299" t="s">
        <v>2217</v>
      </c>
      <c r="L258" s="303"/>
    </row>
    <row r="259" spans="1:13" s="281" customFormat="1" ht="192" x14ac:dyDescent="0.2">
      <c r="A259" s="412"/>
      <c r="B259" s="453" t="s">
        <v>694</v>
      </c>
      <c r="C259" s="632" t="s">
        <v>2071</v>
      </c>
      <c r="D259" s="479" t="s">
        <v>2070</v>
      </c>
      <c r="E259" s="488" t="s">
        <v>2072</v>
      </c>
      <c r="F259" s="479" t="s">
        <v>2073</v>
      </c>
      <c r="G259" s="453" t="s">
        <v>1526</v>
      </c>
      <c r="H259" s="439" t="s">
        <v>3023</v>
      </c>
      <c r="I259" s="279">
        <f>(3500000)/1000*$I$5</f>
        <v>3500</v>
      </c>
      <c r="J259" s="314">
        <f>I259-(35000)/1000*$I$5</f>
        <v>3465</v>
      </c>
      <c r="K259" s="299" t="s">
        <v>2073</v>
      </c>
      <c r="L259" s="303"/>
    </row>
    <row r="260" spans="1:13" s="281" customFormat="1" ht="180" x14ac:dyDescent="0.2">
      <c r="A260" s="412"/>
      <c r="B260" s="455" t="s">
        <v>695</v>
      </c>
      <c r="C260" s="633"/>
      <c r="D260" s="479" t="s">
        <v>2458</v>
      </c>
      <c r="E260" s="488" t="s">
        <v>2457</v>
      </c>
      <c r="F260" s="479" t="s">
        <v>2455</v>
      </c>
      <c r="G260" s="453" t="s">
        <v>1869</v>
      </c>
      <c r="H260" s="321" t="s">
        <v>1614</v>
      </c>
      <c r="I260" s="279">
        <f>(154156)/1000*$I$5</f>
        <v>154.15600000000001</v>
      </c>
      <c r="J260" s="314">
        <f>I260-(0)/1000*$I$5</f>
        <v>154.15600000000001</v>
      </c>
      <c r="K260" s="299" t="s">
        <v>2456</v>
      </c>
      <c r="L260" s="303"/>
    </row>
    <row r="261" spans="1:13" ht="150" customHeight="1" x14ac:dyDescent="0.2">
      <c r="A261" s="75" t="s">
        <v>450</v>
      </c>
      <c r="B261" s="300" t="s">
        <v>696</v>
      </c>
      <c r="C261" s="66" t="s">
        <v>1248</v>
      </c>
      <c r="D261" s="611" t="s">
        <v>1247</v>
      </c>
      <c r="E261" s="220" t="s">
        <v>994</v>
      </c>
      <c r="F261" s="471" t="s">
        <v>1249</v>
      </c>
      <c r="G261" s="467" t="s">
        <v>14</v>
      </c>
      <c r="H261" s="467" t="s">
        <v>11</v>
      </c>
      <c r="I261" s="188">
        <f>(390000000)/1000*$I$5</f>
        <v>390000</v>
      </c>
      <c r="J261" s="193">
        <f>I261-(10473000+2569000+38773249+1655506+4134020+386559+17036387+15325570+15342207+3454876+1477757+74199+980000)/1000*$I$5</f>
        <v>278317.67</v>
      </c>
      <c r="K261" s="197" t="s">
        <v>805</v>
      </c>
      <c r="L261" s="268"/>
      <c r="M261" s="60" t="s">
        <v>994</v>
      </c>
    </row>
    <row r="262" spans="1:13" ht="72" x14ac:dyDescent="0.2">
      <c r="A262" s="75" t="s">
        <v>543</v>
      </c>
      <c r="B262" s="455" t="s">
        <v>697</v>
      </c>
      <c r="C262" s="469" t="s">
        <v>1250</v>
      </c>
      <c r="D262" s="613"/>
      <c r="E262" s="192" t="s">
        <v>995</v>
      </c>
      <c r="F262" s="66" t="s">
        <v>1251</v>
      </c>
      <c r="G262" s="77" t="s">
        <v>84</v>
      </c>
      <c r="H262" s="77" t="s">
        <v>7</v>
      </c>
      <c r="I262" s="195">
        <f>(13244584)/1000*$I$5</f>
        <v>13244.584000000001</v>
      </c>
      <c r="J262" s="193">
        <f>I262-(3944931+1927740)/1000*$I$5</f>
        <v>7371.9130000000005</v>
      </c>
      <c r="K262" s="66" t="s">
        <v>430</v>
      </c>
      <c r="L262" s="78"/>
    </row>
    <row r="263" spans="1:13" s="281" customFormat="1" ht="336" x14ac:dyDescent="0.2">
      <c r="A263" s="412"/>
      <c r="B263" s="455" t="s">
        <v>698</v>
      </c>
      <c r="C263" s="481" t="s">
        <v>1714</v>
      </c>
      <c r="D263" s="480"/>
      <c r="E263" s="298" t="s">
        <v>1715</v>
      </c>
      <c r="F263" s="299" t="s">
        <v>1713</v>
      </c>
      <c r="G263" s="300" t="s">
        <v>1614</v>
      </c>
      <c r="H263" s="437" t="s">
        <v>3024</v>
      </c>
      <c r="I263" s="506">
        <f>(12800000)/1000*$I$5</f>
        <v>12800</v>
      </c>
      <c r="J263" s="438">
        <f>I263-(1165032.3+200000)/1000*$J$5</f>
        <v>11434.967699999999</v>
      </c>
      <c r="K263" s="299"/>
      <c r="L263" s="303"/>
    </row>
    <row r="264" spans="1:13" ht="108" x14ac:dyDescent="0.2">
      <c r="A264" s="75" t="s">
        <v>552</v>
      </c>
      <c r="B264" s="455" t="s">
        <v>700</v>
      </c>
      <c r="C264" s="469" t="s">
        <v>1252</v>
      </c>
      <c r="D264" s="131" t="s">
        <v>1257</v>
      </c>
      <c r="E264" s="183" t="s">
        <v>1254</v>
      </c>
      <c r="F264" s="131" t="s">
        <v>1253</v>
      </c>
      <c r="G264" s="77" t="s">
        <v>84</v>
      </c>
      <c r="H264" s="77" t="s">
        <v>84</v>
      </c>
      <c r="I264" s="193">
        <f>(500000)/1000*$I$5</f>
        <v>500</v>
      </c>
      <c r="J264" s="193">
        <f t="shared" ref="J264:J270" si="9">I264-(0)/1000*$I$5</f>
        <v>500</v>
      </c>
      <c r="K264" s="66" t="s">
        <v>431</v>
      </c>
      <c r="L264" s="78"/>
    </row>
    <row r="265" spans="1:13" s="281" customFormat="1" ht="108" x14ac:dyDescent="0.2">
      <c r="A265" s="412"/>
      <c r="B265" s="300" t="s">
        <v>704</v>
      </c>
      <c r="C265" s="481" t="s">
        <v>3192</v>
      </c>
      <c r="D265" s="299" t="s">
        <v>433</v>
      </c>
      <c r="E265" s="298" t="s">
        <v>1718</v>
      </c>
      <c r="F265" s="299" t="s">
        <v>1719</v>
      </c>
      <c r="G265" s="300" t="s">
        <v>1721</v>
      </c>
      <c r="H265" s="300" t="s">
        <v>613</v>
      </c>
      <c r="I265" s="314">
        <f>(850000)/1000*$I$5</f>
        <v>850</v>
      </c>
      <c r="J265" s="314">
        <f t="shared" si="9"/>
        <v>850</v>
      </c>
      <c r="K265" s="299" t="s">
        <v>1720</v>
      </c>
      <c r="L265" s="303"/>
    </row>
    <row r="266" spans="1:13" s="420" customFormat="1" ht="75" customHeight="1" x14ac:dyDescent="0.2">
      <c r="A266" s="429"/>
      <c r="B266" s="423" t="s">
        <v>1308</v>
      </c>
      <c r="C266" s="483"/>
      <c r="D266" s="657" t="s">
        <v>3197</v>
      </c>
      <c r="E266" s="416" t="s">
        <v>3193</v>
      </c>
      <c r="F266" s="494" t="s">
        <v>3195</v>
      </c>
      <c r="G266" s="413" t="s">
        <v>1960</v>
      </c>
      <c r="H266" s="413" t="s">
        <v>1960</v>
      </c>
      <c r="I266" s="451">
        <f>(752674)/1000*$J$5</f>
        <v>752.67399999999998</v>
      </c>
      <c r="J266" s="451">
        <f>I266-(0)/1000*$J$5</f>
        <v>752.67399999999998</v>
      </c>
      <c r="K266" s="494"/>
      <c r="L266" s="418"/>
    </row>
    <row r="267" spans="1:13" s="420" customFormat="1" ht="75" customHeight="1" x14ac:dyDescent="0.2">
      <c r="A267" s="429"/>
      <c r="B267" s="423" t="s">
        <v>1309</v>
      </c>
      <c r="C267" s="482"/>
      <c r="D267" s="658"/>
      <c r="E267" s="416" t="s">
        <v>3194</v>
      </c>
      <c r="F267" s="494" t="s">
        <v>3196</v>
      </c>
      <c r="G267" s="413" t="s">
        <v>1743</v>
      </c>
      <c r="H267" s="413" t="s">
        <v>1743</v>
      </c>
      <c r="I267" s="451">
        <f>(1209007)/1000*$J$5</f>
        <v>1209.0070000000001</v>
      </c>
      <c r="J267" s="451">
        <f>I267-(0)/1000*$J$5</f>
        <v>1209.0070000000001</v>
      </c>
      <c r="K267" s="494"/>
      <c r="L267" s="418"/>
    </row>
    <row r="268" spans="1:13" ht="153.75" customHeight="1" x14ac:dyDescent="0.2">
      <c r="A268" s="75" t="s">
        <v>1255</v>
      </c>
      <c r="B268" s="455" t="s">
        <v>705</v>
      </c>
      <c r="C268" s="469" t="s">
        <v>765</v>
      </c>
      <c r="D268" s="131" t="s">
        <v>1256</v>
      </c>
      <c r="E268" s="183" t="s">
        <v>587</v>
      </c>
      <c r="F268" s="131" t="s">
        <v>1258</v>
      </c>
      <c r="G268" s="77" t="s">
        <v>14</v>
      </c>
      <c r="H268" s="77" t="s">
        <v>586</v>
      </c>
      <c r="I268" s="193">
        <f>(119096424)/1000*$I$5</f>
        <v>119096.424</v>
      </c>
      <c r="J268" s="193">
        <f>I268-(4720342+9389674+2380253+20611493+1300885+1430964+661059)/1000*$I$5</f>
        <v>78601.754000000001</v>
      </c>
      <c r="K268" s="66" t="s">
        <v>585</v>
      </c>
      <c r="L268" s="78"/>
      <c r="M268" s="60" t="s">
        <v>587</v>
      </c>
    </row>
    <row r="269" spans="1:13" ht="172.5" customHeight="1" x14ac:dyDescent="0.2">
      <c r="A269" s="75" t="s">
        <v>680</v>
      </c>
      <c r="B269" s="300" t="s">
        <v>706</v>
      </c>
      <c r="C269" s="469" t="s">
        <v>625</v>
      </c>
      <c r="D269" s="131" t="s">
        <v>1259</v>
      </c>
      <c r="E269" s="183" t="s">
        <v>626</v>
      </c>
      <c r="F269" s="131" t="s">
        <v>1260</v>
      </c>
      <c r="G269" s="77" t="s">
        <v>95</v>
      </c>
      <c r="H269" s="77" t="s">
        <v>11</v>
      </c>
      <c r="I269" s="193">
        <f>(19671702+1204838+5361278)/1000*$I$5</f>
        <v>26237.817999999999</v>
      </c>
      <c r="J269" s="193">
        <f>I269-(1399023+56345+1515335)/1000*$I$5</f>
        <v>23267.114999999998</v>
      </c>
      <c r="K269" s="66" t="s">
        <v>627</v>
      </c>
      <c r="L269" s="78"/>
      <c r="M269" s="60" t="s">
        <v>626</v>
      </c>
    </row>
    <row r="270" spans="1:13" ht="37.5" customHeight="1" x14ac:dyDescent="0.2">
      <c r="A270" s="250" t="s">
        <v>682</v>
      </c>
      <c r="B270" s="453" t="s">
        <v>721</v>
      </c>
      <c r="C270" s="607" t="s">
        <v>2030</v>
      </c>
      <c r="D270" s="582" t="s">
        <v>1261</v>
      </c>
      <c r="E270" s="182"/>
      <c r="F270" s="464"/>
      <c r="G270" s="467"/>
      <c r="H270" s="467"/>
      <c r="I270" s="196">
        <f>(0)/1000*$I$5</f>
        <v>0</v>
      </c>
      <c r="J270" s="196">
        <f t="shared" si="9"/>
        <v>0</v>
      </c>
      <c r="K270" s="471"/>
      <c r="L270" s="221"/>
    </row>
    <row r="271" spans="1:13" ht="36" x14ac:dyDescent="0.2">
      <c r="A271" s="56" t="s">
        <v>1262</v>
      </c>
      <c r="B271" s="455" t="s">
        <v>722</v>
      </c>
      <c r="C271" s="608"/>
      <c r="D271" s="583"/>
      <c r="E271" s="176" t="s">
        <v>441</v>
      </c>
      <c r="F271" s="470" t="s">
        <v>1263</v>
      </c>
      <c r="G271" s="187" t="s">
        <v>439</v>
      </c>
      <c r="H271" s="187" t="s">
        <v>126</v>
      </c>
      <c r="I271" s="188">
        <f>(7168312)/1000*$I$5</f>
        <v>7168.3119999999999</v>
      </c>
      <c r="J271" s="188">
        <f>I271-(803199)/1000*$I$5</f>
        <v>6365.1130000000003</v>
      </c>
      <c r="K271" s="472" t="s">
        <v>438</v>
      </c>
      <c r="L271" s="224"/>
      <c r="M271" s="60" t="s">
        <v>441</v>
      </c>
    </row>
    <row r="272" spans="1:13" ht="42.75" customHeight="1" x14ac:dyDescent="0.2">
      <c r="A272" s="56" t="s">
        <v>1265</v>
      </c>
      <c r="B272" s="455" t="s">
        <v>723</v>
      </c>
      <c r="C272" s="608"/>
      <c r="D272" s="583"/>
      <c r="E272" s="176" t="s">
        <v>442</v>
      </c>
      <c r="F272" s="465" t="s">
        <v>1264</v>
      </c>
      <c r="G272" s="187" t="s">
        <v>119</v>
      </c>
      <c r="H272" s="187" t="s">
        <v>295</v>
      </c>
      <c r="I272" s="188">
        <f>(14067218)/1000*$I$5</f>
        <v>14067.218000000001</v>
      </c>
      <c r="J272" s="188">
        <f>I272-(0)/1000*$I$5</f>
        <v>14067.218000000001</v>
      </c>
      <c r="K272" s="194" t="s">
        <v>446</v>
      </c>
      <c r="L272" s="224"/>
      <c r="M272" s="60" t="s">
        <v>442</v>
      </c>
    </row>
    <row r="273" spans="1:13" ht="48" x14ac:dyDescent="0.2">
      <c r="A273" s="56" t="s">
        <v>1266</v>
      </c>
      <c r="B273" s="455" t="s">
        <v>724</v>
      </c>
      <c r="C273" s="628"/>
      <c r="D273" s="583"/>
      <c r="E273" s="176" t="s">
        <v>440</v>
      </c>
      <c r="F273" s="465" t="s">
        <v>1268</v>
      </c>
      <c r="G273" s="187" t="s">
        <v>8</v>
      </c>
      <c r="H273" s="187" t="s">
        <v>56</v>
      </c>
      <c r="I273" s="188">
        <f>(24083149)/1000*$I$5</f>
        <v>24083.149000000001</v>
      </c>
      <c r="J273" s="188">
        <f>I273-(0)/1000*$I$5</f>
        <v>24083.149000000001</v>
      </c>
      <c r="K273" s="472" t="s">
        <v>445</v>
      </c>
      <c r="L273" s="224"/>
      <c r="M273" s="60" t="s">
        <v>440</v>
      </c>
    </row>
    <row r="274" spans="1:13" ht="36" x14ac:dyDescent="0.2">
      <c r="A274" s="112" t="s">
        <v>683</v>
      </c>
      <c r="B274" s="300" t="s">
        <v>2661</v>
      </c>
      <c r="C274" s="4" t="s">
        <v>2031</v>
      </c>
      <c r="D274" s="584"/>
      <c r="E274" s="181" t="s">
        <v>448</v>
      </c>
      <c r="F274" s="466" t="s">
        <v>1269</v>
      </c>
      <c r="G274" s="77" t="s">
        <v>177</v>
      </c>
      <c r="H274" s="77" t="s">
        <v>48</v>
      </c>
      <c r="I274" s="195">
        <f>(24894319)/1000*$I$5</f>
        <v>24894.319</v>
      </c>
      <c r="J274" s="195">
        <f>I274-(1597047)/1000*$I$5</f>
        <v>23297.272000000001</v>
      </c>
      <c r="K274" s="66" t="s">
        <v>449</v>
      </c>
      <c r="L274" s="78"/>
      <c r="M274" s="60" t="s">
        <v>448</v>
      </c>
    </row>
    <row r="275" spans="1:13" ht="112.5" customHeight="1" x14ac:dyDescent="0.2">
      <c r="A275" s="75" t="s">
        <v>684</v>
      </c>
      <c r="B275" s="455" t="s">
        <v>2662</v>
      </c>
      <c r="C275" s="607" t="s">
        <v>2031</v>
      </c>
      <c r="D275" s="466" t="s">
        <v>1270</v>
      </c>
      <c r="E275" s="181" t="s">
        <v>1000</v>
      </c>
      <c r="F275" s="466" t="s">
        <v>1280</v>
      </c>
      <c r="G275" s="77" t="s">
        <v>124</v>
      </c>
      <c r="H275" s="77" t="s">
        <v>54</v>
      </c>
      <c r="I275" s="193">
        <f>(1490000)/1000*$I$5</f>
        <v>1490</v>
      </c>
      <c r="J275" s="193">
        <f>I275-(0)/1000*$I$5</f>
        <v>1490</v>
      </c>
      <c r="K275" s="66" t="s">
        <v>556</v>
      </c>
      <c r="L275" s="78"/>
    </row>
    <row r="276" spans="1:13" ht="180" x14ac:dyDescent="0.2">
      <c r="A276" s="412"/>
      <c r="B276" s="455" t="s">
        <v>2663</v>
      </c>
      <c r="C276" s="608"/>
      <c r="D276" s="479" t="s">
        <v>2025</v>
      </c>
      <c r="E276" s="488" t="s">
        <v>2034</v>
      </c>
      <c r="F276" s="479" t="s">
        <v>2033</v>
      </c>
      <c r="G276" s="453" t="s">
        <v>18</v>
      </c>
      <c r="H276" s="321" t="s">
        <v>1875</v>
      </c>
      <c r="I276" s="193">
        <f>(64955565.13+11510416+3259543)/1000*$I$5</f>
        <v>79725.524129999991</v>
      </c>
      <c r="J276" s="193">
        <f>I276-(16105221+1580499+719396+442019+2856631)/1000*$I$5</f>
        <v>58021.758129999987</v>
      </c>
      <c r="K276" s="299" t="s">
        <v>2032</v>
      </c>
      <c r="L276" s="78"/>
    </row>
    <row r="277" spans="1:13" s="281" customFormat="1" ht="112.5" customHeight="1" x14ac:dyDescent="0.2">
      <c r="A277" s="412"/>
      <c r="B277" s="455" t="s">
        <v>2664</v>
      </c>
      <c r="C277" s="608"/>
      <c r="D277" s="479" t="s">
        <v>1680</v>
      </c>
      <c r="E277" s="488" t="s">
        <v>1694</v>
      </c>
      <c r="F277" s="479" t="s">
        <v>1696</v>
      </c>
      <c r="G277" s="453" t="s">
        <v>1586</v>
      </c>
      <c r="H277" s="321" t="s">
        <v>3027</v>
      </c>
      <c r="I277" s="279">
        <f>(7819558.01)/1000*$I$5</f>
        <v>7819.5580099999997</v>
      </c>
      <c r="J277" s="279">
        <f>I277-(0)/1000*$I$5</f>
        <v>7819.5580099999997</v>
      </c>
      <c r="K277" s="299" t="s">
        <v>1695</v>
      </c>
      <c r="L277" s="303"/>
    </row>
    <row r="278" spans="1:13" s="436" customFormat="1" ht="36" x14ac:dyDescent="0.2">
      <c r="A278" s="442"/>
      <c r="B278" s="431" t="s">
        <v>3040</v>
      </c>
      <c r="C278" s="628"/>
      <c r="D278" s="492"/>
      <c r="E278" s="505" t="s">
        <v>3041</v>
      </c>
      <c r="F278" s="507" t="s">
        <v>3042</v>
      </c>
      <c r="G278" s="444" t="s">
        <v>1944</v>
      </c>
      <c r="H278" s="437" t="s">
        <v>2104</v>
      </c>
      <c r="I278" s="506">
        <f>4083840*$J$5/1000</f>
        <v>4083.84</v>
      </c>
      <c r="J278" s="506">
        <f>I278-(0)/1000*$J$5</f>
        <v>4083.84</v>
      </c>
      <c r="K278" s="507" t="s">
        <v>3042</v>
      </c>
      <c r="L278" s="443"/>
    </row>
    <row r="279" spans="1:13" s="436" customFormat="1" ht="48" x14ac:dyDescent="0.2">
      <c r="A279" s="442"/>
      <c r="B279" s="431" t="s">
        <v>3247</v>
      </c>
      <c r="C279" s="509" t="s">
        <v>3046</v>
      </c>
      <c r="D279" s="492"/>
      <c r="E279" s="505" t="s">
        <v>3044</v>
      </c>
      <c r="F279" s="507" t="s">
        <v>3043</v>
      </c>
      <c r="G279" s="444" t="s">
        <v>1944</v>
      </c>
      <c r="H279" s="437" t="s">
        <v>2989</v>
      </c>
      <c r="I279" s="506">
        <f>2608760*$J$5/1000</f>
        <v>2608.7600000000002</v>
      </c>
      <c r="J279" s="506">
        <f>I279-(0)/1000*$J$5</f>
        <v>2608.7600000000002</v>
      </c>
      <c r="K279" s="507" t="s">
        <v>3045</v>
      </c>
      <c r="L279" s="443"/>
    </row>
    <row r="280" spans="1:13" s="436" customFormat="1" ht="72" x14ac:dyDescent="0.2">
      <c r="A280" s="442"/>
      <c r="B280" s="431" t="s">
        <v>3248</v>
      </c>
      <c r="C280" s="509" t="s">
        <v>3047</v>
      </c>
      <c r="D280" s="492"/>
      <c r="E280" s="505" t="s">
        <v>3050</v>
      </c>
      <c r="F280" s="507" t="s">
        <v>3049</v>
      </c>
      <c r="G280" s="444" t="s">
        <v>1944</v>
      </c>
      <c r="H280" s="437" t="s">
        <v>3052</v>
      </c>
      <c r="I280" s="506">
        <f>1904000*$J$5/1000</f>
        <v>1904</v>
      </c>
      <c r="J280" s="506">
        <f>I280-(60000)/1000*$J$5</f>
        <v>1844</v>
      </c>
      <c r="K280" s="507" t="s">
        <v>3051</v>
      </c>
      <c r="L280" s="443"/>
    </row>
    <row r="281" spans="1:13" s="436" customFormat="1" ht="72" x14ac:dyDescent="0.2">
      <c r="A281" s="442"/>
      <c r="B281" s="431" t="s">
        <v>3249</v>
      </c>
      <c r="C281" s="509" t="s">
        <v>3055</v>
      </c>
      <c r="D281" s="492"/>
      <c r="E281" s="505" t="s">
        <v>3054</v>
      </c>
      <c r="F281" s="507" t="s">
        <v>3053</v>
      </c>
      <c r="G281" s="444" t="s">
        <v>3056</v>
      </c>
      <c r="H281" s="437" t="s">
        <v>3052</v>
      </c>
      <c r="I281" s="506">
        <f>2100000*$J$5/1000</f>
        <v>2100</v>
      </c>
      <c r="J281" s="506">
        <f>I281-(75000)/1000*$J$5</f>
        <v>2025</v>
      </c>
      <c r="K281" s="507"/>
      <c r="L281" s="443"/>
    </row>
    <row r="282" spans="1:13" s="281" customFormat="1" ht="178.5" customHeight="1" x14ac:dyDescent="0.2">
      <c r="A282" s="412"/>
      <c r="B282" s="300" t="s">
        <v>752</v>
      </c>
      <c r="C282" s="481" t="s">
        <v>3048</v>
      </c>
      <c r="D282" s="479" t="s">
        <v>2954</v>
      </c>
      <c r="E282" s="488" t="s">
        <v>2065</v>
      </c>
      <c r="F282" s="479" t="s">
        <v>2066</v>
      </c>
      <c r="G282" s="455" t="s">
        <v>872</v>
      </c>
      <c r="H282" s="284" t="s">
        <v>1526</v>
      </c>
      <c r="I282" s="279">
        <f>(2893398)/1000*$I$5</f>
        <v>2893.3980000000001</v>
      </c>
      <c r="J282" s="279">
        <f>I282-(0)/1000*$I$5</f>
        <v>2893.3980000000001</v>
      </c>
      <c r="K282" s="299"/>
      <c r="L282" s="303"/>
    </row>
    <row r="283" spans="1:13" s="436" customFormat="1" ht="168" customHeight="1" x14ac:dyDescent="0.2">
      <c r="A283" s="442"/>
      <c r="B283" s="431" t="s">
        <v>3250</v>
      </c>
      <c r="C283" s="508"/>
      <c r="D283" s="507" t="s">
        <v>3061</v>
      </c>
      <c r="E283" s="505" t="s">
        <v>3070</v>
      </c>
      <c r="F283" s="507" t="s">
        <v>3069</v>
      </c>
      <c r="G283" s="444" t="s">
        <v>3023</v>
      </c>
      <c r="H283" s="437" t="s">
        <v>2982</v>
      </c>
      <c r="I283" s="506">
        <f>117000*$J$5/1000</f>
        <v>117</v>
      </c>
      <c r="J283" s="506">
        <f>I283-(0)/1000*$J$5</f>
        <v>117</v>
      </c>
      <c r="K283" s="507"/>
      <c r="L283" s="443"/>
    </row>
    <row r="284" spans="1:13" s="281" customFormat="1" ht="180" x14ac:dyDescent="0.2">
      <c r="A284" s="412"/>
      <c r="B284" s="455" t="s">
        <v>2665</v>
      </c>
      <c r="C284" s="632" t="s">
        <v>2035</v>
      </c>
      <c r="D284" s="479" t="s">
        <v>2025</v>
      </c>
      <c r="E284" s="488" t="s">
        <v>2038</v>
      </c>
      <c r="F284" s="479" t="s">
        <v>2036</v>
      </c>
      <c r="G284" s="455" t="s">
        <v>2039</v>
      </c>
      <c r="H284" s="284" t="s">
        <v>1614</v>
      </c>
      <c r="I284" s="188">
        <f>(39146588.3+30418798.71+4517178)/1000*$I$5</f>
        <v>74082.565009999991</v>
      </c>
      <c r="J284" s="188">
        <f>I284-(0)/1000*$I$5</f>
        <v>74082.565009999991</v>
      </c>
      <c r="K284" s="299" t="s">
        <v>2037</v>
      </c>
      <c r="L284" s="303"/>
    </row>
    <row r="285" spans="1:13" s="281" customFormat="1" ht="204.75" customHeight="1" x14ac:dyDescent="0.2">
      <c r="A285" s="412"/>
      <c r="B285" s="455" t="s">
        <v>2666</v>
      </c>
      <c r="C285" s="634"/>
      <c r="D285" s="479" t="s">
        <v>2043</v>
      </c>
      <c r="E285" s="488" t="s">
        <v>2040</v>
      </c>
      <c r="F285" s="479" t="s">
        <v>2044</v>
      </c>
      <c r="G285" s="453" t="s">
        <v>1520</v>
      </c>
      <c r="H285" s="439" t="s">
        <v>3087</v>
      </c>
      <c r="I285" s="328">
        <f>(43162939.01)/1000*$I$5</f>
        <v>43162.939009999995</v>
      </c>
      <c r="J285" s="328">
        <f>I285-(0)/1000*$I$5</f>
        <v>43162.939009999995</v>
      </c>
      <c r="K285" s="299" t="s">
        <v>2042</v>
      </c>
      <c r="L285" s="303"/>
    </row>
    <row r="286" spans="1:13" s="281" customFormat="1" ht="150" customHeight="1" x14ac:dyDescent="0.2">
      <c r="A286" s="412"/>
      <c r="B286" s="455" t="s">
        <v>2667</v>
      </c>
      <c r="C286" s="633"/>
      <c r="D286" s="479" t="s">
        <v>2045</v>
      </c>
      <c r="E286" s="488" t="s">
        <v>2046</v>
      </c>
      <c r="F286" s="479" t="s">
        <v>2047</v>
      </c>
      <c r="G286" s="453" t="s">
        <v>1520</v>
      </c>
      <c r="H286" s="321" t="s">
        <v>1526</v>
      </c>
      <c r="I286" s="196">
        <f>(4857411.67)/1000*$I$5</f>
        <v>4857.4116699999995</v>
      </c>
      <c r="J286" s="196">
        <f>I286-(0)/1000*$I$5</f>
        <v>4857.4116699999995</v>
      </c>
      <c r="K286" s="299"/>
      <c r="L286" s="303"/>
    </row>
    <row r="287" spans="1:13" ht="219.75" customHeight="1" x14ac:dyDescent="0.2">
      <c r="A287" s="75" t="s">
        <v>685</v>
      </c>
      <c r="B287" s="455" t="s">
        <v>754</v>
      </c>
      <c r="C287" s="469" t="s">
        <v>1283</v>
      </c>
      <c r="D287" s="464" t="s">
        <v>1281</v>
      </c>
      <c r="E287" s="182" t="s">
        <v>551</v>
      </c>
      <c r="F287" s="464" t="s">
        <v>1272</v>
      </c>
      <c r="G287" s="467" t="s">
        <v>6</v>
      </c>
      <c r="H287" s="467" t="s">
        <v>7</v>
      </c>
      <c r="I287" s="196">
        <f>(444005270)/1000*$I$5</f>
        <v>444005.27</v>
      </c>
      <c r="J287" s="196">
        <f>I287-(1802298+116204+5445957+4438015+332211+8285705+1361841+6213406+130743)/1000*$I$5</f>
        <v>415878.89</v>
      </c>
      <c r="K287" s="197" t="s">
        <v>1271</v>
      </c>
      <c r="L287" s="78"/>
      <c r="M287" s="60" t="s">
        <v>551</v>
      </c>
    </row>
    <row r="288" spans="1:13" ht="93" customHeight="1" x14ac:dyDescent="0.2">
      <c r="A288" s="75" t="s">
        <v>688</v>
      </c>
      <c r="B288" s="455" t="s">
        <v>1324</v>
      </c>
      <c r="C288" s="469" t="s">
        <v>1001</v>
      </c>
      <c r="D288" s="466" t="s">
        <v>1282</v>
      </c>
      <c r="E288" s="181" t="s">
        <v>581</v>
      </c>
      <c r="F288" s="466" t="s">
        <v>1284</v>
      </c>
      <c r="G288" s="468" t="s">
        <v>4</v>
      </c>
      <c r="H288" s="468" t="s">
        <v>24</v>
      </c>
      <c r="I288" s="193">
        <f>(37438795+4559067)/1000*$I$5</f>
        <v>41997.862000000001</v>
      </c>
      <c r="J288" s="193">
        <f t="shared" ref="J288:J294" si="10">I288-(0)/1000*$I$5</f>
        <v>41997.862000000001</v>
      </c>
      <c r="K288" s="66" t="s">
        <v>681</v>
      </c>
      <c r="L288" s="78"/>
      <c r="M288" s="60" t="s">
        <v>581</v>
      </c>
    </row>
    <row r="289" spans="1:13" ht="102" customHeight="1" x14ac:dyDescent="0.2">
      <c r="A289" s="75" t="s">
        <v>689</v>
      </c>
      <c r="B289" s="455" t="s">
        <v>762</v>
      </c>
      <c r="C289" s="469" t="s">
        <v>1285</v>
      </c>
      <c r="D289" s="582" t="s">
        <v>1287</v>
      </c>
      <c r="E289" s="182" t="s">
        <v>562</v>
      </c>
      <c r="F289" s="464" t="s">
        <v>1286</v>
      </c>
      <c r="G289" s="77" t="s">
        <v>46</v>
      </c>
      <c r="H289" s="77" t="s">
        <v>52</v>
      </c>
      <c r="I289" s="193">
        <f>(12510963+537851)/1000*$I$5</f>
        <v>13048.814</v>
      </c>
      <c r="J289" s="193">
        <f t="shared" si="10"/>
        <v>13048.814</v>
      </c>
      <c r="K289" s="66" t="s">
        <v>558</v>
      </c>
      <c r="L289" s="78"/>
      <c r="M289" s="60" t="s">
        <v>562</v>
      </c>
    </row>
    <row r="290" spans="1:13" ht="48" x14ac:dyDescent="0.2">
      <c r="A290" s="75" t="s">
        <v>690</v>
      </c>
      <c r="B290" s="300" t="s">
        <v>1434</v>
      </c>
      <c r="C290" s="469" t="s">
        <v>579</v>
      </c>
      <c r="D290" s="584"/>
      <c r="E290" s="181" t="s">
        <v>580</v>
      </c>
      <c r="F290" s="466" t="s">
        <v>1288</v>
      </c>
      <c r="G290" s="77" t="s">
        <v>488</v>
      </c>
      <c r="H290" s="77" t="s">
        <v>7</v>
      </c>
      <c r="I290" s="193">
        <f>(2281959)/1000*$I$5</f>
        <v>2281.9589999999998</v>
      </c>
      <c r="J290" s="193">
        <f t="shared" si="10"/>
        <v>2281.9589999999998</v>
      </c>
      <c r="K290" s="66" t="s">
        <v>578</v>
      </c>
      <c r="L290" s="78"/>
      <c r="M290" s="60" t="s">
        <v>580</v>
      </c>
    </row>
    <row r="291" spans="1:13" ht="60" x14ac:dyDescent="0.2">
      <c r="A291" s="75" t="s">
        <v>691</v>
      </c>
      <c r="B291" s="455" t="s">
        <v>2668</v>
      </c>
      <c r="C291" s="607" t="s">
        <v>771</v>
      </c>
      <c r="D291" s="466" t="s">
        <v>632</v>
      </c>
      <c r="E291" s="181" t="s">
        <v>634</v>
      </c>
      <c r="F291" s="466" t="s">
        <v>1289</v>
      </c>
      <c r="G291" s="77" t="s">
        <v>101</v>
      </c>
      <c r="H291" s="77" t="s">
        <v>103</v>
      </c>
      <c r="I291" s="193">
        <f>(7649009)/1000*$I$5</f>
        <v>7649.009</v>
      </c>
      <c r="J291" s="193">
        <f t="shared" si="10"/>
        <v>7649.009</v>
      </c>
      <c r="K291" s="66" t="s">
        <v>633</v>
      </c>
      <c r="L291" s="78"/>
      <c r="M291" s="60" t="s">
        <v>634</v>
      </c>
    </row>
    <row r="292" spans="1:13" s="281" customFormat="1" ht="84" customHeight="1" x14ac:dyDescent="0.2">
      <c r="A292" s="412"/>
      <c r="B292" s="455" t="s">
        <v>2669</v>
      </c>
      <c r="C292" s="608"/>
      <c r="D292" s="629" t="s">
        <v>433</v>
      </c>
      <c r="E292" s="489" t="s">
        <v>1729</v>
      </c>
      <c r="F292" s="480" t="s">
        <v>1732</v>
      </c>
      <c r="G292" s="300" t="s">
        <v>1586</v>
      </c>
      <c r="H292" s="300" t="s">
        <v>638</v>
      </c>
      <c r="I292" s="314">
        <f>(1990000)/1000*$I$5</f>
        <v>1990</v>
      </c>
      <c r="J292" s="314">
        <f t="shared" si="10"/>
        <v>1990</v>
      </c>
      <c r="K292" s="299" t="s">
        <v>1732</v>
      </c>
      <c r="L292" s="303"/>
    </row>
    <row r="293" spans="1:13" s="281" customFormat="1" ht="48" x14ac:dyDescent="0.2">
      <c r="A293" s="412"/>
      <c r="B293" s="455" t="s">
        <v>2670</v>
      </c>
      <c r="C293" s="608"/>
      <c r="D293" s="630"/>
      <c r="E293" s="489" t="s">
        <v>1730</v>
      </c>
      <c r="F293" s="480" t="s">
        <v>1731</v>
      </c>
      <c r="G293" s="300" t="s">
        <v>1635</v>
      </c>
      <c r="H293" s="300" t="s">
        <v>1527</v>
      </c>
      <c r="I293" s="314">
        <f>(1300000)/1000*$I$5</f>
        <v>1300</v>
      </c>
      <c r="J293" s="314">
        <f t="shared" si="10"/>
        <v>1300</v>
      </c>
      <c r="K293" s="299" t="s">
        <v>2674</v>
      </c>
      <c r="L293" s="303"/>
    </row>
    <row r="294" spans="1:13" s="281" customFormat="1" ht="72" x14ac:dyDescent="0.2">
      <c r="A294" s="412"/>
      <c r="B294" s="455" t="s">
        <v>2671</v>
      </c>
      <c r="C294" s="608"/>
      <c r="D294" s="630"/>
      <c r="E294" s="489" t="s">
        <v>1735</v>
      </c>
      <c r="F294" s="480" t="s">
        <v>1736</v>
      </c>
      <c r="G294" s="300" t="s">
        <v>1643</v>
      </c>
      <c r="H294" s="300" t="s">
        <v>1737</v>
      </c>
      <c r="I294" s="314">
        <f>(1340000)/1000*$I$5</f>
        <v>1340</v>
      </c>
      <c r="J294" s="314">
        <f t="shared" si="10"/>
        <v>1340</v>
      </c>
      <c r="K294" s="299" t="s">
        <v>2675</v>
      </c>
      <c r="L294" s="303"/>
    </row>
    <row r="295" spans="1:13" s="281" customFormat="1" ht="108" x14ac:dyDescent="0.2">
      <c r="A295" s="412"/>
      <c r="B295" s="455" t="s">
        <v>2672</v>
      </c>
      <c r="C295" s="608"/>
      <c r="D295" s="630"/>
      <c r="E295" s="489" t="s">
        <v>1738</v>
      </c>
      <c r="F295" s="480" t="s">
        <v>1741</v>
      </c>
      <c r="G295" s="300" t="s">
        <v>1603</v>
      </c>
      <c r="H295" s="300" t="s">
        <v>1742</v>
      </c>
      <c r="I295" s="314">
        <f>(5100000)/1000*$I$5</f>
        <v>5100</v>
      </c>
      <c r="J295" s="314">
        <f>I295-(428527)/1000*$I$5</f>
        <v>4671.473</v>
      </c>
      <c r="K295" s="299" t="s">
        <v>2676</v>
      </c>
      <c r="L295" s="303"/>
    </row>
    <row r="296" spans="1:13" s="281" customFormat="1" ht="60" x14ac:dyDescent="0.2">
      <c r="A296" s="412"/>
      <c r="B296" s="455" t="s">
        <v>2673</v>
      </c>
      <c r="C296" s="608"/>
      <c r="D296" s="630"/>
      <c r="E296" s="489" t="s">
        <v>1739</v>
      </c>
      <c r="F296" s="480" t="s">
        <v>1740</v>
      </c>
      <c r="G296" s="437" t="s">
        <v>3071</v>
      </c>
      <c r="H296" s="444" t="s">
        <v>3023</v>
      </c>
      <c r="I296" s="314">
        <f>(14100000)/1000*$I$5</f>
        <v>14100</v>
      </c>
      <c r="J296" s="314">
        <f>(14100000)/1000*$I$5</f>
        <v>14100</v>
      </c>
      <c r="K296" s="299" t="s">
        <v>2048</v>
      </c>
      <c r="L296" s="303"/>
    </row>
    <row r="297" spans="1:13" s="436" customFormat="1" ht="36" x14ac:dyDescent="0.2">
      <c r="A297" s="442"/>
      <c r="B297" s="431" t="s">
        <v>3076</v>
      </c>
      <c r="C297" s="608"/>
      <c r="D297" s="651" t="s">
        <v>3079</v>
      </c>
      <c r="E297" s="445" t="s">
        <v>3080</v>
      </c>
      <c r="F297" s="491" t="s">
        <v>3083</v>
      </c>
      <c r="G297" s="437" t="s">
        <v>3086</v>
      </c>
      <c r="H297" s="444" t="s">
        <v>1743</v>
      </c>
      <c r="I297" s="438">
        <f>(994181.95)/1000*$J$5</f>
        <v>994.18194999999992</v>
      </c>
      <c r="J297" s="438">
        <f>I297-(0)/1000*$J$5</f>
        <v>994.18194999999992</v>
      </c>
      <c r="K297" s="507"/>
      <c r="L297" s="443"/>
    </row>
    <row r="298" spans="1:13" s="436" customFormat="1" ht="36" x14ac:dyDescent="0.2">
      <c r="A298" s="442"/>
      <c r="B298" s="431" t="s">
        <v>3077</v>
      </c>
      <c r="C298" s="608"/>
      <c r="D298" s="651"/>
      <c r="E298" s="445" t="s">
        <v>3081</v>
      </c>
      <c r="F298" s="491" t="s">
        <v>3084</v>
      </c>
      <c r="G298" s="437" t="s">
        <v>1943</v>
      </c>
      <c r="H298" s="444" t="s">
        <v>1943</v>
      </c>
      <c r="I298" s="438">
        <f>(140401)/1000*$J$5</f>
        <v>140.40100000000001</v>
      </c>
      <c r="J298" s="438">
        <f>I298-(0)/1000*$J$5</f>
        <v>140.40100000000001</v>
      </c>
      <c r="K298" s="507"/>
      <c r="L298" s="443"/>
    </row>
    <row r="299" spans="1:13" s="436" customFormat="1" ht="84" x14ac:dyDescent="0.2">
      <c r="A299" s="442"/>
      <c r="B299" s="431" t="s">
        <v>3078</v>
      </c>
      <c r="C299" s="628"/>
      <c r="D299" s="651"/>
      <c r="E299" s="445" t="s">
        <v>3082</v>
      </c>
      <c r="F299" s="491" t="s">
        <v>3085</v>
      </c>
      <c r="G299" s="437" t="s">
        <v>1943</v>
      </c>
      <c r="H299" s="444" t="s">
        <v>2245</v>
      </c>
      <c r="I299" s="438">
        <f>(2014308)/1000*$J$5</f>
        <v>2014.308</v>
      </c>
      <c r="J299" s="438">
        <f>I299-(0)/1000*$J$5</f>
        <v>2014.308</v>
      </c>
      <c r="K299" s="507"/>
      <c r="L299" s="443"/>
    </row>
    <row r="300" spans="1:13" s="281" customFormat="1" ht="40.5" customHeight="1" x14ac:dyDescent="0.2">
      <c r="A300" s="412"/>
      <c r="B300" s="455" t="s">
        <v>3074</v>
      </c>
      <c r="C300" s="632" t="s">
        <v>2067</v>
      </c>
      <c r="D300" s="630" t="s">
        <v>433</v>
      </c>
      <c r="E300" s="489" t="s">
        <v>1733</v>
      </c>
      <c r="F300" s="480" t="s">
        <v>1734</v>
      </c>
      <c r="G300" s="300" t="s">
        <v>1635</v>
      </c>
      <c r="H300" s="300" t="s">
        <v>1527</v>
      </c>
      <c r="I300" s="314">
        <f>(1780000)/1000*$I$5</f>
        <v>1780</v>
      </c>
      <c r="J300" s="314">
        <f>I300-(0)/1000*$I$5</f>
        <v>1780</v>
      </c>
      <c r="K300" s="299" t="s">
        <v>2674</v>
      </c>
      <c r="L300" s="303"/>
    </row>
    <row r="301" spans="1:13" s="436" customFormat="1" ht="60" x14ac:dyDescent="0.2">
      <c r="A301" s="442"/>
      <c r="B301" s="431" t="s">
        <v>3075</v>
      </c>
      <c r="C301" s="633"/>
      <c r="D301" s="630"/>
      <c r="E301" s="445" t="s">
        <v>3072</v>
      </c>
      <c r="F301" s="491" t="s">
        <v>3073</v>
      </c>
      <c r="G301" s="444" t="s">
        <v>1944</v>
      </c>
      <c r="H301" s="444" t="s">
        <v>2245</v>
      </c>
      <c r="I301" s="438">
        <f>(3950000)/1000*$J$5</f>
        <v>3950</v>
      </c>
      <c r="J301" s="438">
        <f>I301-(0)/1000*$J$5</f>
        <v>3950</v>
      </c>
      <c r="K301" s="299" t="s">
        <v>2674</v>
      </c>
      <c r="L301" s="443"/>
    </row>
    <row r="302" spans="1:13" s="281" customFormat="1" ht="178.5" customHeight="1" x14ac:dyDescent="0.2">
      <c r="A302" s="412"/>
      <c r="B302" s="455" t="s">
        <v>1451</v>
      </c>
      <c r="C302" s="632" t="s">
        <v>771</v>
      </c>
      <c r="D302" s="479" t="s">
        <v>2054</v>
      </c>
      <c r="E302" s="489" t="s">
        <v>2059</v>
      </c>
      <c r="F302" s="480" t="s">
        <v>2057</v>
      </c>
      <c r="G302" s="300" t="s">
        <v>598</v>
      </c>
      <c r="H302" s="300" t="s">
        <v>2060</v>
      </c>
      <c r="I302" s="314">
        <f>(14500000)/1000*$I$5</f>
        <v>14500</v>
      </c>
      <c r="J302" s="314">
        <f>I302-(119355+34094.86+5816509)/1000*$I$5</f>
        <v>8530.0411399999994</v>
      </c>
      <c r="K302" s="478" t="s">
        <v>2051</v>
      </c>
      <c r="L302" s="303"/>
    </row>
    <row r="303" spans="1:13" s="281" customFormat="1" ht="59.25" customHeight="1" x14ac:dyDescent="0.2">
      <c r="A303" s="412"/>
      <c r="B303" s="300" t="s">
        <v>1452</v>
      </c>
      <c r="C303" s="634"/>
      <c r="D303" s="479" t="s">
        <v>2309</v>
      </c>
      <c r="E303" s="489" t="s">
        <v>2315</v>
      </c>
      <c r="F303" s="480" t="s">
        <v>2314</v>
      </c>
      <c r="G303" s="300" t="s">
        <v>1559</v>
      </c>
      <c r="H303" s="300" t="s">
        <v>610</v>
      </c>
      <c r="I303" s="314">
        <f>(220707.71)/1000*$I$5</f>
        <v>220.70770999999999</v>
      </c>
      <c r="J303" s="314">
        <f>I303-(0)/1000*$I$5</f>
        <v>220.70770999999999</v>
      </c>
      <c r="K303" s="478" t="s">
        <v>2313</v>
      </c>
      <c r="L303" s="303"/>
    </row>
    <row r="304" spans="1:13" s="436" customFormat="1" ht="69" customHeight="1" x14ac:dyDescent="0.2">
      <c r="A304" s="442"/>
      <c r="B304" s="444" t="s">
        <v>3089</v>
      </c>
      <c r="C304" s="633"/>
      <c r="D304" s="649" t="s">
        <v>2068</v>
      </c>
      <c r="E304" s="445" t="s">
        <v>3090</v>
      </c>
      <c r="F304" s="491" t="s">
        <v>3091</v>
      </c>
      <c r="G304" s="444" t="s">
        <v>3037</v>
      </c>
      <c r="H304" s="437" t="s">
        <v>3092</v>
      </c>
      <c r="I304" s="438">
        <f>161350306*$J$5/1000</f>
        <v>161350.30600000001</v>
      </c>
      <c r="J304" s="438">
        <f>I304-(5618585+16329718+2867046+890214)/1000*$J$5</f>
        <v>135644.74300000002</v>
      </c>
      <c r="K304" s="490"/>
      <c r="L304" s="443"/>
    </row>
    <row r="305" spans="1:13" s="281" customFormat="1" ht="104.25" customHeight="1" x14ac:dyDescent="0.2">
      <c r="A305" s="412"/>
      <c r="B305" s="455" t="s">
        <v>1459</v>
      </c>
      <c r="C305" s="481" t="s">
        <v>2677</v>
      </c>
      <c r="D305" s="650"/>
      <c r="E305" s="489" t="s">
        <v>2069</v>
      </c>
      <c r="F305" s="480" t="s">
        <v>2951</v>
      </c>
      <c r="G305" s="300" t="s">
        <v>1614</v>
      </c>
      <c r="H305" s="300" t="s">
        <v>1635</v>
      </c>
      <c r="I305" s="314">
        <f>(547321)/1000*$I$5</f>
        <v>547.32100000000003</v>
      </c>
      <c r="J305" s="314">
        <f>I305-(0)/1000*$I$5</f>
        <v>547.32100000000003</v>
      </c>
      <c r="K305" s="299" t="s">
        <v>2952</v>
      </c>
      <c r="L305" s="303"/>
    </row>
    <row r="306" spans="1:13" ht="108" x14ac:dyDescent="0.2">
      <c r="A306" s="112" t="s">
        <v>693</v>
      </c>
      <c r="B306" s="300" t="s">
        <v>1462</v>
      </c>
      <c r="C306" s="4" t="s">
        <v>559</v>
      </c>
      <c r="D306" s="466" t="s">
        <v>1728</v>
      </c>
      <c r="E306" s="181" t="s">
        <v>566</v>
      </c>
      <c r="F306" s="466" t="s">
        <v>1290</v>
      </c>
      <c r="G306" s="77" t="s">
        <v>427</v>
      </c>
      <c r="H306" s="77" t="s">
        <v>7</v>
      </c>
      <c r="I306" s="193">
        <f>(3700000)/1000*$I$5</f>
        <v>3700</v>
      </c>
      <c r="J306" s="193">
        <f>I306-(1300000)/1000*$I$5</f>
        <v>2400</v>
      </c>
      <c r="K306" s="66" t="s">
        <v>570</v>
      </c>
      <c r="L306" s="78"/>
      <c r="M306" s="60" t="s">
        <v>566</v>
      </c>
    </row>
    <row r="307" spans="1:13" ht="140.25" customHeight="1" x14ac:dyDescent="0.2">
      <c r="A307" s="75" t="s">
        <v>1291</v>
      </c>
      <c r="B307" s="455" t="s">
        <v>1463</v>
      </c>
      <c r="C307" s="469" t="s">
        <v>559</v>
      </c>
      <c r="D307" s="466" t="s">
        <v>1292</v>
      </c>
      <c r="E307" s="181" t="s">
        <v>561</v>
      </c>
      <c r="F307" s="466" t="s">
        <v>1293</v>
      </c>
      <c r="G307" s="77" t="s">
        <v>54</v>
      </c>
      <c r="H307" s="77" t="s">
        <v>52</v>
      </c>
      <c r="I307" s="193">
        <f>(1555540)/1000*$I$5</f>
        <v>1555.54</v>
      </c>
      <c r="J307" s="193">
        <f>I307-(0)/1000*$I$5</f>
        <v>1555.54</v>
      </c>
      <c r="K307" s="66" t="s">
        <v>560</v>
      </c>
      <c r="L307" s="78"/>
      <c r="M307" s="60" t="s">
        <v>561</v>
      </c>
    </row>
    <row r="308" spans="1:13" ht="156" x14ac:dyDescent="0.2">
      <c r="A308" s="75" t="s">
        <v>696</v>
      </c>
      <c r="B308" s="300" t="s">
        <v>1474</v>
      </c>
      <c r="C308" s="469" t="s">
        <v>1295</v>
      </c>
      <c r="D308" s="466" t="s">
        <v>1294</v>
      </c>
      <c r="E308" s="181" t="s">
        <v>592</v>
      </c>
      <c r="F308" s="466" t="s">
        <v>1296</v>
      </c>
      <c r="G308" s="77" t="s">
        <v>124</v>
      </c>
      <c r="H308" s="77" t="s">
        <v>7</v>
      </c>
      <c r="I308" s="193">
        <v>35340.406999999999</v>
      </c>
      <c r="J308" s="193">
        <v>35340.406999999999</v>
      </c>
      <c r="K308" s="66" t="s">
        <v>774</v>
      </c>
      <c r="L308" s="78"/>
      <c r="M308" s="60" t="s">
        <v>592</v>
      </c>
    </row>
    <row r="309" spans="1:13" ht="204" customHeight="1" x14ac:dyDescent="0.2">
      <c r="A309" s="75" t="s">
        <v>697</v>
      </c>
      <c r="B309" s="455" t="s">
        <v>2146</v>
      </c>
      <c r="C309" s="469" t="s">
        <v>1297</v>
      </c>
      <c r="D309" s="466" t="s">
        <v>1298</v>
      </c>
      <c r="E309" s="181" t="s">
        <v>644</v>
      </c>
      <c r="F309" s="466" t="s">
        <v>1299</v>
      </c>
      <c r="G309" s="77" t="s">
        <v>107</v>
      </c>
      <c r="H309" s="77" t="s">
        <v>63</v>
      </c>
      <c r="I309" s="193">
        <f>(21476783)/1000*$I$5</f>
        <v>21476.782999999999</v>
      </c>
      <c r="J309" s="193">
        <f>I309-(0)/1000*$I$5</f>
        <v>21476.782999999999</v>
      </c>
      <c r="K309" s="66" t="s">
        <v>643</v>
      </c>
      <c r="L309" s="78"/>
      <c r="M309" s="60" t="s">
        <v>644</v>
      </c>
    </row>
    <row r="310" spans="1:13" ht="174" customHeight="1" x14ac:dyDescent="0.2">
      <c r="A310" s="75" t="s">
        <v>698</v>
      </c>
      <c r="B310" s="455" t="s">
        <v>2678</v>
      </c>
      <c r="C310" s="469" t="s">
        <v>645</v>
      </c>
      <c r="D310" s="466" t="s">
        <v>1300</v>
      </c>
      <c r="E310" s="181" t="s">
        <v>2074</v>
      </c>
      <c r="F310" s="466" t="s">
        <v>1301</v>
      </c>
      <c r="G310" s="77" t="s">
        <v>16</v>
      </c>
      <c r="H310" s="77" t="s">
        <v>63</v>
      </c>
      <c r="I310" s="331">
        <f>(11400000)/1000*$I$5</f>
        <v>11400</v>
      </c>
      <c r="J310" s="331">
        <f>I310-(0)/1000*$I$5</f>
        <v>11400</v>
      </c>
      <c r="K310" s="66" t="s">
        <v>646</v>
      </c>
      <c r="L310" s="78"/>
    </row>
    <row r="311" spans="1:13" s="436" customFormat="1" ht="174" customHeight="1" x14ac:dyDescent="0.2">
      <c r="A311" s="442"/>
      <c r="B311" s="431"/>
      <c r="C311" s="508" t="s">
        <v>3093</v>
      </c>
      <c r="D311" s="491" t="s">
        <v>3094</v>
      </c>
      <c r="E311" s="445" t="s">
        <v>3095</v>
      </c>
      <c r="F311" s="491" t="s">
        <v>3096</v>
      </c>
      <c r="G311" s="444" t="s">
        <v>2989</v>
      </c>
      <c r="H311" s="437" t="s">
        <v>3097</v>
      </c>
      <c r="I311" s="438">
        <f>(47800000)/1000*$J$5</f>
        <v>47800</v>
      </c>
      <c r="J311" s="438">
        <f>I311-(10119574+2349430+3439242+1638114+511319+2103333)/1000*$J$5</f>
        <v>27638.988000000001</v>
      </c>
      <c r="K311" s="507"/>
      <c r="L311" s="443"/>
    </row>
    <row r="312" spans="1:13" ht="132" x14ac:dyDescent="0.2">
      <c r="A312" s="75" t="s">
        <v>700</v>
      </c>
      <c r="B312" s="455" t="s">
        <v>2679</v>
      </c>
      <c r="C312" s="469" t="s">
        <v>582</v>
      </c>
      <c r="D312" s="466" t="s">
        <v>1302</v>
      </c>
      <c r="E312" s="181"/>
      <c r="F312" s="466" t="s">
        <v>1303</v>
      </c>
      <c r="G312" s="77" t="s">
        <v>14</v>
      </c>
      <c r="H312" s="77" t="s">
        <v>91</v>
      </c>
      <c r="I312" s="193">
        <f>(2201287+41913)/1000*$I$5</f>
        <v>2243.1999999999998</v>
      </c>
      <c r="J312" s="193">
        <f>I312-(0)/1000*$I$5</f>
        <v>2243.1999999999998</v>
      </c>
      <c r="K312" s="66" t="s">
        <v>584</v>
      </c>
      <c r="L312" s="78"/>
      <c r="M312" s="60" t="s">
        <v>583</v>
      </c>
    </row>
    <row r="313" spans="1:13" ht="108" x14ac:dyDescent="0.2">
      <c r="A313" s="75" t="s">
        <v>1308</v>
      </c>
      <c r="B313" s="455" t="s">
        <v>2680</v>
      </c>
      <c r="C313" s="469" t="s">
        <v>1304</v>
      </c>
      <c r="D313" s="582" t="s">
        <v>1311</v>
      </c>
      <c r="E313" s="182" t="s">
        <v>588</v>
      </c>
      <c r="F313" s="464" t="s">
        <v>1306</v>
      </c>
      <c r="G313" s="77" t="s">
        <v>35</v>
      </c>
      <c r="H313" s="77" t="s">
        <v>230</v>
      </c>
      <c r="I313" s="193">
        <f>(3829000-217990)/1000*$I$5</f>
        <v>3611.01</v>
      </c>
      <c r="J313" s="193">
        <f>I313-(262712)/1000*$I$5</f>
        <v>3348.2980000000002</v>
      </c>
      <c r="K313" s="66" t="s">
        <v>776</v>
      </c>
      <c r="L313" s="464" t="s">
        <v>1007</v>
      </c>
      <c r="M313" s="60" t="s">
        <v>588</v>
      </c>
    </row>
    <row r="314" spans="1:13" ht="82.5" customHeight="1" x14ac:dyDescent="0.2">
      <c r="A314" s="75" t="s">
        <v>1309</v>
      </c>
      <c r="B314" s="412" t="s">
        <v>2681</v>
      </c>
      <c r="C314" s="469" t="s">
        <v>1305</v>
      </c>
      <c r="D314" s="584"/>
      <c r="E314" s="181" t="s">
        <v>1008</v>
      </c>
      <c r="F314" s="464" t="s">
        <v>1307</v>
      </c>
      <c r="G314" s="77" t="s">
        <v>7</v>
      </c>
      <c r="H314" s="113" t="s">
        <v>91</v>
      </c>
      <c r="I314" s="114">
        <f>(4794400)/1000*$I$5</f>
        <v>4794.3999999999996</v>
      </c>
      <c r="J314" s="114">
        <f>I314-(0)/1000*$I$5</f>
        <v>4794.3999999999996</v>
      </c>
      <c r="K314" s="66" t="s">
        <v>591</v>
      </c>
      <c r="L314" s="78"/>
      <c r="M314" s="60" t="s">
        <v>589</v>
      </c>
    </row>
    <row r="315" spans="1:13" ht="108" x14ac:dyDescent="0.2">
      <c r="A315" s="75" t="s">
        <v>705</v>
      </c>
      <c r="B315" s="455" t="s">
        <v>2682</v>
      </c>
      <c r="C315" s="469" t="s">
        <v>778</v>
      </c>
      <c r="D315" s="582" t="s">
        <v>1313</v>
      </c>
      <c r="E315" s="182" t="s">
        <v>596</v>
      </c>
      <c r="F315" s="464" t="s">
        <v>1310</v>
      </c>
      <c r="G315" s="467" t="s">
        <v>91</v>
      </c>
      <c r="H315" s="467" t="s">
        <v>1743</v>
      </c>
      <c r="I315" s="188">
        <f>(643437996)/1000*$I$5</f>
        <v>643437.99600000004</v>
      </c>
      <c r="J315" s="193">
        <f>I315-(323242749+25894212+30130843+582706+506567+6431012+9466678+2847445+3299873+1773039+730584+2798678+4434391+900000+2970163+8287018+5179344+1545849)/1000*$I$5</f>
        <v>212416.84500000003</v>
      </c>
      <c r="K315" s="66" t="s">
        <v>595</v>
      </c>
      <c r="L315" s="78"/>
      <c r="M315" s="60" t="s">
        <v>596</v>
      </c>
    </row>
    <row r="316" spans="1:13" ht="55.5" customHeight="1" x14ac:dyDescent="0.2">
      <c r="A316" s="75" t="s">
        <v>706</v>
      </c>
      <c r="B316" s="300" t="s">
        <v>2683</v>
      </c>
      <c r="C316" s="469" t="s">
        <v>594</v>
      </c>
      <c r="D316" s="583"/>
      <c r="E316" s="183" t="s">
        <v>597</v>
      </c>
      <c r="F316" s="131" t="s">
        <v>1312</v>
      </c>
      <c r="G316" s="77" t="s">
        <v>211</v>
      </c>
      <c r="H316" s="77" t="s">
        <v>11</v>
      </c>
      <c r="I316" s="195">
        <f>(85900080)/1000*$I$5</f>
        <v>85900.08</v>
      </c>
      <c r="J316" s="193">
        <f>I316-(2220688+614603+606803)/1000*$I$5</f>
        <v>82457.986000000004</v>
      </c>
      <c r="K316" s="197" t="s">
        <v>779</v>
      </c>
      <c r="L316" s="78"/>
      <c r="M316" s="60" t="s">
        <v>597</v>
      </c>
    </row>
    <row r="317" spans="1:13" ht="144" x14ac:dyDescent="0.2">
      <c r="A317" s="75" t="s">
        <v>721</v>
      </c>
      <c r="B317" s="300" t="s">
        <v>2684</v>
      </c>
      <c r="C317" s="469" t="s">
        <v>780</v>
      </c>
      <c r="D317" s="466" t="s">
        <v>1313</v>
      </c>
      <c r="E317" s="181" t="s">
        <v>1010</v>
      </c>
      <c r="F317" s="131" t="s">
        <v>1314</v>
      </c>
      <c r="G317" s="468" t="s">
        <v>11</v>
      </c>
      <c r="H317" s="468" t="s">
        <v>1591</v>
      </c>
      <c r="I317" s="193">
        <f>(142758713)/1000*$I$5</f>
        <v>142758.71299999999</v>
      </c>
      <c r="J317" s="193">
        <f>I317-(3974529+2178400+550000+3601754+7356265+501298)/1000*$I$5</f>
        <v>124596.46699999999</v>
      </c>
      <c r="K317" s="473" t="s">
        <v>781</v>
      </c>
      <c r="L317" s="78"/>
    </row>
    <row r="318" spans="1:13" ht="144" x14ac:dyDescent="0.2">
      <c r="A318" s="412"/>
      <c r="B318" s="455" t="s">
        <v>2685</v>
      </c>
      <c r="C318" s="632" t="s">
        <v>2316</v>
      </c>
      <c r="D318" s="480" t="s">
        <v>3212</v>
      </c>
      <c r="E318" s="489" t="s">
        <v>2317</v>
      </c>
      <c r="F318" s="480" t="s">
        <v>2318</v>
      </c>
      <c r="G318" s="412" t="s">
        <v>1830</v>
      </c>
      <c r="H318" s="412" t="s">
        <v>1520</v>
      </c>
      <c r="I318" s="314">
        <f>(30281875+1549529+4350355)/1000*$I$5</f>
        <v>36181.758999999998</v>
      </c>
      <c r="J318" s="314">
        <f>I318-(16236336+246627+3198879+293038+2417165+1340542)/1000*$I$5</f>
        <v>12449.171999999999</v>
      </c>
      <c r="K318" s="480" t="s">
        <v>2319</v>
      </c>
      <c r="L318" s="78"/>
    </row>
    <row r="319" spans="1:13" ht="156" x14ac:dyDescent="0.2">
      <c r="A319" s="412"/>
      <c r="B319" s="455" t="s">
        <v>2686</v>
      </c>
      <c r="C319" s="634"/>
      <c r="D319" s="480" t="s">
        <v>3213</v>
      </c>
      <c r="E319" s="489" t="s">
        <v>2322</v>
      </c>
      <c r="F319" s="480" t="s">
        <v>2318</v>
      </c>
      <c r="G319" s="412" t="s">
        <v>1579</v>
      </c>
      <c r="H319" s="412" t="s">
        <v>1575</v>
      </c>
      <c r="I319" s="314">
        <f>(941357)/1000*$I$5</f>
        <v>941.35699999999997</v>
      </c>
      <c r="J319" s="314">
        <f>I319-(0)/1000*$I$5</f>
        <v>941.35699999999997</v>
      </c>
      <c r="K319" s="480" t="s">
        <v>2323</v>
      </c>
      <c r="L319" s="78"/>
    </row>
    <row r="320" spans="1:13" ht="156" x14ac:dyDescent="0.2">
      <c r="A320" s="412"/>
      <c r="B320" s="455" t="s">
        <v>2687</v>
      </c>
      <c r="C320" s="633"/>
      <c r="D320" s="480" t="s">
        <v>3216</v>
      </c>
      <c r="E320" s="489" t="s">
        <v>2326</v>
      </c>
      <c r="F320" s="480" t="s">
        <v>2325</v>
      </c>
      <c r="G320" s="412" t="s">
        <v>1830</v>
      </c>
      <c r="H320" s="412" t="s">
        <v>638</v>
      </c>
      <c r="I320" s="314">
        <f>(3066386)/1000*$I$5</f>
        <v>3066.386</v>
      </c>
      <c r="J320" s="314">
        <f>I320-(352983)/1000*$I$5</f>
        <v>2713.4029999999998</v>
      </c>
      <c r="K320" s="480" t="s">
        <v>2320</v>
      </c>
      <c r="L320" s="78"/>
    </row>
    <row r="321" spans="1:12" ht="132" x14ac:dyDescent="0.2">
      <c r="A321" s="412"/>
      <c r="B321" s="300" t="s">
        <v>2688</v>
      </c>
      <c r="C321" s="481" t="s">
        <v>2518</v>
      </c>
      <c r="D321" s="480" t="s">
        <v>3214</v>
      </c>
      <c r="E321" s="489" t="s">
        <v>2520</v>
      </c>
      <c r="F321" s="480" t="s">
        <v>2521</v>
      </c>
      <c r="G321" s="412" t="s">
        <v>1636</v>
      </c>
      <c r="H321" s="412" t="s">
        <v>1636</v>
      </c>
      <c r="I321" s="314">
        <f>(200000)/1000*$I$5</f>
        <v>200</v>
      </c>
      <c r="J321" s="314">
        <f>I321-(0)/1000*$I$5</f>
        <v>200</v>
      </c>
      <c r="K321" s="480" t="s">
        <v>2522</v>
      </c>
      <c r="L321" s="78"/>
    </row>
    <row r="322" spans="1:12" s="281" customFormat="1" ht="96" x14ac:dyDescent="0.2">
      <c r="A322" s="412"/>
      <c r="B322" s="300" t="s">
        <v>2689</v>
      </c>
      <c r="C322" s="481" t="s">
        <v>2165</v>
      </c>
      <c r="D322" s="480" t="s">
        <v>2164</v>
      </c>
      <c r="E322" s="489" t="s">
        <v>2162</v>
      </c>
      <c r="F322" s="480" t="s">
        <v>2163</v>
      </c>
      <c r="G322" s="412" t="s">
        <v>20</v>
      </c>
      <c r="H322" s="412" t="s">
        <v>15</v>
      </c>
      <c r="I322" s="314">
        <f>(8916750+3227059)/1000*$I$5</f>
        <v>12143.808999999999</v>
      </c>
      <c r="J322" s="314">
        <f>I322-(0)/1000*$I$5</f>
        <v>12143.808999999999</v>
      </c>
      <c r="K322" s="480" t="s">
        <v>2166</v>
      </c>
      <c r="L322" s="303"/>
    </row>
    <row r="323" spans="1:12" s="281" customFormat="1" ht="168" x14ac:dyDescent="0.2">
      <c r="A323" s="412"/>
      <c r="B323" s="455" t="s">
        <v>2690</v>
      </c>
      <c r="C323" s="481" t="s">
        <v>2235</v>
      </c>
      <c r="D323" s="480" t="s">
        <v>3215</v>
      </c>
      <c r="E323" s="489" t="s">
        <v>2236</v>
      </c>
      <c r="F323" s="480" t="s">
        <v>2238</v>
      </c>
      <c r="G323" s="412" t="s">
        <v>15</v>
      </c>
      <c r="H323" s="412" t="s">
        <v>1677</v>
      </c>
      <c r="I323" s="314">
        <f>(12142956)/1000*$I$5</f>
        <v>12142.956</v>
      </c>
      <c r="J323" s="314">
        <f>I323-(2491891+3035260)/1000*$I$5</f>
        <v>6615.8050000000003</v>
      </c>
      <c r="K323" s="480" t="s">
        <v>2237</v>
      </c>
      <c r="L323" s="303"/>
    </row>
    <row r="324" spans="1:12" s="281" customFormat="1" ht="67.5" customHeight="1" x14ac:dyDescent="0.2">
      <c r="A324" s="412"/>
      <c r="B324" s="455" t="s">
        <v>2691</v>
      </c>
      <c r="C324" s="481" t="s">
        <v>2295</v>
      </c>
      <c r="D324" s="348"/>
      <c r="E324" s="489"/>
      <c r="F324" s="480"/>
      <c r="G324" s="412"/>
      <c r="H324" s="412"/>
      <c r="I324" s="314"/>
      <c r="J324" s="314"/>
      <c r="K324" s="480"/>
      <c r="L324" s="303"/>
    </row>
    <row r="325" spans="1:12" s="281" customFormat="1" ht="184.5" customHeight="1" x14ac:dyDescent="0.2">
      <c r="A325" s="412"/>
      <c r="B325" s="455" t="s">
        <v>2693</v>
      </c>
      <c r="C325" s="632" t="s">
        <v>2296</v>
      </c>
      <c r="D325" s="479" t="s">
        <v>2305</v>
      </c>
      <c r="E325" s="489" t="s">
        <v>2297</v>
      </c>
      <c r="F325" s="480" t="s">
        <v>2294</v>
      </c>
      <c r="G325" s="412" t="s">
        <v>1591</v>
      </c>
      <c r="H325" s="412" t="s">
        <v>1586</v>
      </c>
      <c r="I325" s="314">
        <f>(36915155/1000*$I$5)</f>
        <v>36915.154999999999</v>
      </c>
      <c r="J325" s="314">
        <f>I325-(3293186)/1000*$I$5</f>
        <v>33621.968999999997</v>
      </c>
      <c r="K325" s="480" t="s">
        <v>2956</v>
      </c>
      <c r="L325" s="303"/>
    </row>
    <row r="326" spans="1:12" s="281" customFormat="1" ht="96" x14ac:dyDescent="0.2">
      <c r="A326" s="412"/>
      <c r="B326" s="455" t="s">
        <v>2694</v>
      </c>
      <c r="C326" s="633"/>
      <c r="D326" s="324" t="s">
        <v>2298</v>
      </c>
      <c r="E326" s="489" t="s">
        <v>2301</v>
      </c>
      <c r="F326" s="480" t="s">
        <v>2299</v>
      </c>
      <c r="G326" s="412" t="s">
        <v>872</v>
      </c>
      <c r="H326" s="412" t="s">
        <v>638</v>
      </c>
      <c r="I326" s="314">
        <f>(1940000/1000*$I$5)</f>
        <v>1940</v>
      </c>
      <c r="J326" s="314">
        <f>I326-(0)/1000*$I$5</f>
        <v>1940</v>
      </c>
      <c r="K326" s="480" t="s">
        <v>2300</v>
      </c>
      <c r="L326" s="303"/>
    </row>
    <row r="327" spans="1:12" s="281" customFormat="1" ht="85.5" customHeight="1" x14ac:dyDescent="0.2">
      <c r="A327" s="412"/>
      <c r="B327" s="455" t="s">
        <v>2692</v>
      </c>
      <c r="C327" s="481" t="s">
        <v>2306</v>
      </c>
      <c r="D327" s="630" t="s">
        <v>2304</v>
      </c>
      <c r="E327" s="489" t="s">
        <v>2302</v>
      </c>
      <c r="F327" s="480" t="s">
        <v>2307</v>
      </c>
      <c r="G327" s="412" t="s">
        <v>638</v>
      </c>
      <c r="H327" s="412" t="s">
        <v>1869</v>
      </c>
      <c r="I327" s="314">
        <f>(190023/1000*$I$5)</f>
        <v>190.023</v>
      </c>
      <c r="J327" s="314">
        <f>I327-(0)/1000*$I$5</f>
        <v>190.023</v>
      </c>
      <c r="K327" s="480" t="s">
        <v>2303</v>
      </c>
      <c r="L327" s="303"/>
    </row>
    <row r="328" spans="1:12" s="420" customFormat="1" ht="24" x14ac:dyDescent="0.2">
      <c r="A328" s="429"/>
      <c r="B328" s="423" t="s">
        <v>3209</v>
      </c>
      <c r="C328" s="414" t="s">
        <v>3208</v>
      </c>
      <c r="D328" s="631"/>
      <c r="E328" s="449" t="s">
        <v>3210</v>
      </c>
      <c r="F328" s="497" t="s">
        <v>3211</v>
      </c>
      <c r="G328" s="429" t="s">
        <v>3086</v>
      </c>
      <c r="H328" s="429" t="s">
        <v>2104</v>
      </c>
      <c r="I328" s="451">
        <f>(2486245/1000*$J$5)</f>
        <v>2486.2449999999999</v>
      </c>
      <c r="J328" s="451">
        <f>I328-(0)/1000*$J$5</f>
        <v>2486.2449999999999</v>
      </c>
      <c r="K328" s="497"/>
      <c r="L328" s="418"/>
    </row>
    <row r="329" spans="1:12" s="281" customFormat="1" ht="60" x14ac:dyDescent="0.2">
      <c r="A329" s="412"/>
      <c r="B329" s="455" t="s">
        <v>2695</v>
      </c>
      <c r="C329" s="481" t="s">
        <v>2308</v>
      </c>
      <c r="D329" s="349" t="s">
        <v>2309</v>
      </c>
      <c r="E329" s="489" t="s">
        <v>2310</v>
      </c>
      <c r="F329" s="480" t="s">
        <v>2311</v>
      </c>
      <c r="G329" s="412" t="s">
        <v>872</v>
      </c>
      <c r="H329" s="412" t="s">
        <v>872</v>
      </c>
      <c r="I329" s="314">
        <f>(1300000/1000*$I$5)</f>
        <v>1300</v>
      </c>
      <c r="J329" s="314">
        <f>I329-(0)/1000*$I$5</f>
        <v>1300</v>
      </c>
      <c r="K329" s="480" t="s">
        <v>2312</v>
      </c>
      <c r="L329" s="303"/>
    </row>
    <row r="330" spans="1:12" s="281" customFormat="1" ht="84" x14ac:dyDescent="0.2">
      <c r="A330" s="412"/>
      <c r="B330" s="455" t="s">
        <v>2696</v>
      </c>
      <c r="C330" s="481" t="s">
        <v>2357</v>
      </c>
      <c r="D330" s="349" t="s">
        <v>2358</v>
      </c>
      <c r="E330" s="489" t="s">
        <v>2355</v>
      </c>
      <c r="F330" s="480" t="s">
        <v>2356</v>
      </c>
      <c r="G330" s="412" t="s">
        <v>1579</v>
      </c>
      <c r="H330" s="412" t="s">
        <v>1520</v>
      </c>
      <c r="I330" s="314">
        <f>(411122/1000*$I$5)</f>
        <v>411.12200000000001</v>
      </c>
      <c r="J330" s="314">
        <f>I330-(0)/1000*$I$5</f>
        <v>411.12200000000001</v>
      </c>
      <c r="K330" s="480" t="s">
        <v>2354</v>
      </c>
      <c r="L330" s="303"/>
    </row>
    <row r="331" spans="1:12" s="281" customFormat="1" ht="84" x14ac:dyDescent="0.2">
      <c r="A331" s="412"/>
      <c r="B331" s="455" t="s">
        <v>2697</v>
      </c>
      <c r="C331" s="481" t="s">
        <v>2289</v>
      </c>
      <c r="D331" s="480" t="s">
        <v>2292</v>
      </c>
      <c r="E331" s="489" t="s">
        <v>2293</v>
      </c>
      <c r="F331" s="480" t="s">
        <v>2290</v>
      </c>
      <c r="G331" s="412" t="s">
        <v>613</v>
      </c>
      <c r="H331" s="412" t="s">
        <v>1635</v>
      </c>
      <c r="I331" s="314">
        <f>(54237288)/1000*$I$5</f>
        <v>54237.288</v>
      </c>
      <c r="J331" s="314">
        <f>I331-(1281801+1997507.78)/1000*$I$5</f>
        <v>50957.979220000001</v>
      </c>
      <c r="K331" s="480" t="s">
        <v>2291</v>
      </c>
      <c r="L331" s="303"/>
    </row>
    <row r="332" spans="1:12" s="281" customFormat="1" ht="132" x14ac:dyDescent="0.2">
      <c r="A332" s="412"/>
      <c r="B332" s="455" t="s">
        <v>2698</v>
      </c>
      <c r="C332" s="632" t="s">
        <v>2393</v>
      </c>
      <c r="D332" s="629" t="s">
        <v>2394</v>
      </c>
      <c r="E332" s="489" t="s">
        <v>2390</v>
      </c>
      <c r="F332" s="480" t="s">
        <v>2391</v>
      </c>
      <c r="G332" s="412" t="s">
        <v>1591</v>
      </c>
      <c r="H332" s="412" t="s">
        <v>638</v>
      </c>
      <c r="I332" s="314">
        <f>(14133297/1000*$I$5)</f>
        <v>14133.297</v>
      </c>
      <c r="J332" s="314">
        <f>I332-(2129846+758164+294572)/1000*$I$5</f>
        <v>10950.715</v>
      </c>
      <c r="K332" s="480" t="s">
        <v>2392</v>
      </c>
      <c r="L332" s="303"/>
    </row>
    <row r="333" spans="1:12" s="281" customFormat="1" ht="96" x14ac:dyDescent="0.2">
      <c r="A333" s="412"/>
      <c r="B333" s="455" t="s">
        <v>2699</v>
      </c>
      <c r="C333" s="633"/>
      <c r="D333" s="630"/>
      <c r="E333" s="489" t="s">
        <v>2398</v>
      </c>
      <c r="F333" s="480" t="s">
        <v>2395</v>
      </c>
      <c r="G333" s="412" t="s">
        <v>2396</v>
      </c>
      <c r="H333" s="412" t="s">
        <v>1635</v>
      </c>
      <c r="I333" s="314">
        <f>(1250000/1000*$I$5)</f>
        <v>1250</v>
      </c>
      <c r="J333" s="314">
        <f>I333-(285697)/1000*$I$5</f>
        <v>964.303</v>
      </c>
      <c r="K333" s="480" t="s">
        <v>2392</v>
      </c>
      <c r="L333" s="303"/>
    </row>
    <row r="334" spans="1:12" s="281" customFormat="1" ht="96" x14ac:dyDescent="0.2">
      <c r="A334" s="412"/>
      <c r="B334" s="300" t="s">
        <v>2700</v>
      </c>
      <c r="C334" s="481" t="s">
        <v>2397</v>
      </c>
      <c r="D334" s="631"/>
      <c r="E334" s="489" t="s">
        <v>2399</v>
      </c>
      <c r="F334" s="480" t="s">
        <v>2400</v>
      </c>
      <c r="G334" s="412" t="s">
        <v>1603</v>
      </c>
      <c r="H334" s="412" t="s">
        <v>1527</v>
      </c>
      <c r="I334" s="314">
        <f>(7000000/1000*$I$5)</f>
        <v>7000</v>
      </c>
      <c r="J334" s="314">
        <f>I334-(2657976)/1000*$I$5</f>
        <v>4342.0239999999994</v>
      </c>
      <c r="K334" s="480"/>
      <c r="L334" s="303"/>
    </row>
    <row r="335" spans="1:12" s="420" customFormat="1" ht="132" x14ac:dyDescent="0.2">
      <c r="A335" s="429"/>
      <c r="B335" s="413" t="s">
        <v>3179</v>
      </c>
      <c r="C335" s="414" t="s">
        <v>3181</v>
      </c>
      <c r="D335" s="497" t="s">
        <v>3180</v>
      </c>
      <c r="E335" s="449" t="s">
        <v>3183</v>
      </c>
      <c r="F335" s="497" t="s">
        <v>3182</v>
      </c>
      <c r="G335" s="429" t="s">
        <v>1743</v>
      </c>
      <c r="H335" s="429" t="s">
        <v>3023</v>
      </c>
      <c r="I335" s="451">
        <f>(4802171/1000*$J$5)</f>
        <v>4802.1710000000003</v>
      </c>
      <c r="J335" s="451">
        <f>I335-(1350000)/1000*$J$5</f>
        <v>3452.1710000000003</v>
      </c>
      <c r="K335" s="497"/>
      <c r="L335" s="418"/>
    </row>
    <row r="336" spans="1:12" s="281" customFormat="1" ht="60" x14ac:dyDescent="0.2">
      <c r="A336" s="412"/>
      <c r="B336" s="300" t="s">
        <v>2701</v>
      </c>
      <c r="C336" s="481" t="s">
        <v>2401</v>
      </c>
      <c r="D336" s="480" t="s">
        <v>2405</v>
      </c>
      <c r="E336" s="489" t="s">
        <v>2402</v>
      </c>
      <c r="F336" s="480" t="s">
        <v>2403</v>
      </c>
      <c r="G336" s="412" t="s">
        <v>1575</v>
      </c>
      <c r="H336" s="412" t="s">
        <v>638</v>
      </c>
      <c r="I336" s="314">
        <f>(398305)/1000*$I$5</f>
        <v>398.30500000000001</v>
      </c>
      <c r="J336" s="314">
        <f>I336-(0)/1000*$I$5</f>
        <v>398.30500000000001</v>
      </c>
      <c r="K336" s="480" t="s">
        <v>2404</v>
      </c>
      <c r="L336" s="303"/>
    </row>
    <row r="337" spans="1:12" s="281" customFormat="1" ht="93" customHeight="1" x14ac:dyDescent="0.2">
      <c r="A337" s="412"/>
      <c r="B337" s="300" t="s">
        <v>2702</v>
      </c>
      <c r="C337" s="481" t="s">
        <v>2407</v>
      </c>
      <c r="D337" s="629" t="s">
        <v>2411</v>
      </c>
      <c r="E337" s="489" t="s">
        <v>2406</v>
      </c>
      <c r="F337" s="480" t="s">
        <v>2408</v>
      </c>
      <c r="G337" s="412" t="s">
        <v>1869</v>
      </c>
      <c r="H337" s="448" t="s">
        <v>3107</v>
      </c>
      <c r="I337" s="314">
        <f>(616945628)/1000*$I$5</f>
        <v>616945.62800000003</v>
      </c>
      <c r="J337" s="438">
        <f>I337-(50810645)/1000*$I$5</f>
        <v>566134.98300000001</v>
      </c>
      <c r="K337" s="480" t="s">
        <v>2409</v>
      </c>
      <c r="L337" s="303"/>
    </row>
    <row r="338" spans="1:12" s="281" customFormat="1" ht="81" customHeight="1" x14ac:dyDescent="0.2">
      <c r="A338" s="412"/>
      <c r="B338" s="300" t="s">
        <v>2703</v>
      </c>
      <c r="C338" s="481" t="s">
        <v>2414</v>
      </c>
      <c r="D338" s="630"/>
      <c r="E338" s="489" t="s">
        <v>2412</v>
      </c>
      <c r="F338" s="480" t="s">
        <v>2415</v>
      </c>
      <c r="G338" s="412" t="s">
        <v>1636</v>
      </c>
      <c r="H338" s="346" t="s">
        <v>1527</v>
      </c>
      <c r="I338" s="314">
        <f>(73780000)/1000*$I$5</f>
        <v>73780</v>
      </c>
      <c r="J338" s="314">
        <f>I338-(387079+500000+759061+677742+1534634+2500000+351694)/1000*$I$5</f>
        <v>67069.789999999994</v>
      </c>
      <c r="K338" s="480" t="s">
        <v>2413</v>
      </c>
      <c r="L338" s="303"/>
    </row>
    <row r="339" spans="1:12" s="436" customFormat="1" ht="108" x14ac:dyDescent="0.2">
      <c r="A339" s="442"/>
      <c r="B339" s="431" t="s">
        <v>3108</v>
      </c>
      <c r="C339" s="508" t="s">
        <v>3114</v>
      </c>
      <c r="D339" s="630"/>
      <c r="E339" s="445" t="s">
        <v>3116</v>
      </c>
      <c r="F339" s="491" t="s">
        <v>3113</v>
      </c>
      <c r="G339" s="442" t="s">
        <v>3023</v>
      </c>
      <c r="H339" s="448" t="s">
        <v>3117</v>
      </c>
      <c r="I339" s="438">
        <f>1160437*$J$5/1000</f>
        <v>1160.4369999999999</v>
      </c>
      <c r="J339" s="438">
        <f>I339-(0)/1000*$J$5</f>
        <v>1160.4369999999999</v>
      </c>
      <c r="K339" s="491" t="s">
        <v>3115</v>
      </c>
      <c r="L339" s="443"/>
    </row>
    <row r="340" spans="1:12" s="436" customFormat="1" ht="72" x14ac:dyDescent="0.2">
      <c r="A340" s="442"/>
      <c r="B340" s="431" t="s">
        <v>3109</v>
      </c>
      <c r="C340" s="508" t="s">
        <v>3110</v>
      </c>
      <c r="D340" s="631"/>
      <c r="E340" s="445" t="s">
        <v>3111</v>
      </c>
      <c r="F340" s="491" t="s">
        <v>3112</v>
      </c>
      <c r="G340" s="442" t="s">
        <v>2989</v>
      </c>
      <c r="H340" s="448" t="s">
        <v>2245</v>
      </c>
      <c r="I340" s="438">
        <f>4157822*$J$5/1000</f>
        <v>4157.8220000000001</v>
      </c>
      <c r="J340" s="438">
        <f>I340-(0)/1000*$J$5</f>
        <v>4157.8220000000001</v>
      </c>
      <c r="K340" s="491"/>
      <c r="L340" s="443"/>
    </row>
    <row r="341" spans="1:12" s="436" customFormat="1" ht="72" x14ac:dyDescent="0.2">
      <c r="A341" s="442"/>
      <c r="B341" s="431" t="s">
        <v>3225</v>
      </c>
      <c r="C341" s="508" t="s">
        <v>2407</v>
      </c>
      <c r="D341" s="492" t="s">
        <v>3226</v>
      </c>
      <c r="E341" s="445" t="s">
        <v>3227</v>
      </c>
      <c r="F341" s="491" t="s">
        <v>3228</v>
      </c>
      <c r="G341" s="442" t="s">
        <v>2982</v>
      </c>
      <c r="H341" s="448" t="s">
        <v>2245</v>
      </c>
      <c r="I341" s="438">
        <f>1156952*$J$5/1000</f>
        <v>1156.952</v>
      </c>
      <c r="J341" s="438">
        <f>I341-(0)/1000*$J$5</f>
        <v>1156.952</v>
      </c>
      <c r="K341" s="491"/>
      <c r="L341" s="443"/>
    </row>
    <row r="342" spans="1:12" s="281" customFormat="1" ht="72" x14ac:dyDescent="0.2">
      <c r="A342" s="412"/>
      <c r="B342" s="455" t="s">
        <v>2704</v>
      </c>
      <c r="C342" s="632" t="s">
        <v>2423</v>
      </c>
      <c r="D342" s="629" t="s">
        <v>2416</v>
      </c>
      <c r="E342" s="489" t="s">
        <v>2419</v>
      </c>
      <c r="F342" s="480" t="s">
        <v>2417</v>
      </c>
      <c r="G342" s="412" t="s">
        <v>638</v>
      </c>
      <c r="H342" s="346" t="s">
        <v>1527</v>
      </c>
      <c r="I342" s="314">
        <f>(184139788.52+5503990.84)/1000*$I$5</f>
        <v>189643.77936000002</v>
      </c>
      <c r="J342" s="314">
        <f>I342-(68578705+3128087+169998)/1000*$I$5</f>
        <v>117766.98936000002</v>
      </c>
      <c r="K342" s="480" t="s">
        <v>2418</v>
      </c>
      <c r="L342" s="303"/>
    </row>
    <row r="343" spans="1:12" s="281" customFormat="1" ht="84" x14ac:dyDescent="0.2">
      <c r="A343" s="412"/>
      <c r="B343" s="455" t="s">
        <v>2705</v>
      </c>
      <c r="C343" s="634"/>
      <c r="D343" s="631"/>
      <c r="E343" s="489" t="s">
        <v>2421</v>
      </c>
      <c r="F343" s="480" t="s">
        <v>2420</v>
      </c>
      <c r="G343" s="412" t="s">
        <v>638</v>
      </c>
      <c r="H343" s="346" t="s">
        <v>1614</v>
      </c>
      <c r="I343" s="314">
        <f>(415254.24)/1000*$I$5</f>
        <v>415.25423999999998</v>
      </c>
      <c r="J343" s="314">
        <f>I343-(20165.71)/1000*$I$5</f>
        <v>395.08852999999999</v>
      </c>
      <c r="K343" s="480" t="s">
        <v>2422</v>
      </c>
      <c r="L343" s="303"/>
    </row>
    <row r="344" spans="1:12" s="420" customFormat="1" ht="35.25" customHeight="1" x14ac:dyDescent="0.2">
      <c r="A344" s="429"/>
      <c r="B344" s="423"/>
      <c r="C344" s="634"/>
      <c r="D344" s="497"/>
      <c r="E344" s="449" t="s">
        <v>3118</v>
      </c>
      <c r="F344" s="497" t="s">
        <v>3119</v>
      </c>
      <c r="G344" s="429" t="s">
        <v>3120</v>
      </c>
      <c r="H344" s="450" t="s">
        <v>3251</v>
      </c>
      <c r="I344" s="451">
        <f>(1736875)/1000*$J$5</f>
        <v>1736.875</v>
      </c>
      <c r="J344" s="451">
        <f>I344-(0)/1000*$J$5</f>
        <v>1736.875</v>
      </c>
      <c r="K344" s="497"/>
      <c r="L344" s="418"/>
    </row>
    <row r="345" spans="1:12" s="281" customFormat="1" ht="93" customHeight="1" x14ac:dyDescent="0.2">
      <c r="A345" s="412"/>
      <c r="B345" s="455" t="s">
        <v>2706</v>
      </c>
      <c r="C345" s="633"/>
      <c r="D345" s="395" t="s">
        <v>2486</v>
      </c>
      <c r="E345" s="489" t="s">
        <v>2489</v>
      </c>
      <c r="F345" s="480" t="s">
        <v>2487</v>
      </c>
      <c r="G345" s="412" t="s">
        <v>1596</v>
      </c>
      <c r="H345" s="346" t="s">
        <v>1643</v>
      </c>
      <c r="I345" s="314">
        <f>(127293)/1000*$I$5</f>
        <v>127.29300000000001</v>
      </c>
      <c r="J345" s="314">
        <f>I345-(0)/1000*$I$5</f>
        <v>127.29300000000001</v>
      </c>
      <c r="K345" s="480" t="s">
        <v>2488</v>
      </c>
      <c r="L345" s="303"/>
    </row>
    <row r="346" spans="1:12" s="281" customFormat="1" ht="84" x14ac:dyDescent="0.2">
      <c r="A346" s="412"/>
      <c r="B346" s="453" t="s">
        <v>2707</v>
      </c>
      <c r="C346" s="632" t="s">
        <v>2424</v>
      </c>
      <c r="D346" s="349" t="s">
        <v>2416</v>
      </c>
      <c r="E346" s="489" t="s">
        <v>2425</v>
      </c>
      <c r="F346" s="480" t="s">
        <v>2426</v>
      </c>
      <c r="G346" s="412" t="s">
        <v>638</v>
      </c>
      <c r="H346" s="346" t="s">
        <v>1614</v>
      </c>
      <c r="I346" s="314">
        <f>(415254.24)/1000*$I$5</f>
        <v>415.25423999999998</v>
      </c>
      <c r="J346" s="314">
        <f>I346-(0)/1000*$I$5</f>
        <v>415.25423999999998</v>
      </c>
      <c r="K346" s="480" t="s">
        <v>2422</v>
      </c>
      <c r="L346" s="303"/>
    </row>
    <row r="347" spans="1:12" s="281" customFormat="1" ht="92.25" customHeight="1" x14ac:dyDescent="0.2">
      <c r="A347" s="412"/>
      <c r="B347" s="455" t="s">
        <v>2708</v>
      </c>
      <c r="C347" s="634"/>
      <c r="D347" s="480" t="s">
        <v>2428</v>
      </c>
      <c r="E347" s="489" t="s">
        <v>2427</v>
      </c>
      <c r="F347" s="480" t="s">
        <v>2430</v>
      </c>
      <c r="G347" s="412" t="s">
        <v>638</v>
      </c>
      <c r="H347" s="346" t="s">
        <v>3121</v>
      </c>
      <c r="I347" s="314">
        <f>(3291973)/1000*$I$5+(238024271+190514)/1000*$J$5</f>
        <v>241506.758</v>
      </c>
      <c r="J347" s="314">
        <f>I347-((125000+42207+2400000+2693641)/1000*$I$5+(67025006+370000+90664)*$J$5/1000)</f>
        <v>168760.24</v>
      </c>
      <c r="K347" s="480" t="s">
        <v>2418</v>
      </c>
      <c r="L347" s="303"/>
    </row>
    <row r="348" spans="1:12" s="420" customFormat="1" ht="92.25" customHeight="1" x14ac:dyDescent="0.2">
      <c r="A348" s="429"/>
      <c r="B348" s="423" t="s">
        <v>3126</v>
      </c>
      <c r="C348" s="633"/>
      <c r="D348" s="497" t="s">
        <v>2416</v>
      </c>
      <c r="E348" s="449" t="s">
        <v>3128</v>
      </c>
      <c r="F348" s="497" t="s">
        <v>3127</v>
      </c>
      <c r="G348" s="429" t="s">
        <v>2989</v>
      </c>
      <c r="H348" s="450" t="s">
        <v>2982</v>
      </c>
      <c r="I348" s="438">
        <f>(36061193+3056434)/1000*$J$5</f>
        <v>39117.627</v>
      </c>
      <c r="J348" s="438">
        <f>I348-(627105)*$J$5/1000</f>
        <v>38490.521999999997</v>
      </c>
      <c r="K348" s="497"/>
      <c r="L348" s="418"/>
    </row>
    <row r="349" spans="1:12" s="281" customFormat="1" ht="72" x14ac:dyDescent="0.2">
      <c r="A349" s="412"/>
      <c r="B349" s="300" t="s">
        <v>2709</v>
      </c>
      <c r="C349" s="632" t="s">
        <v>2432</v>
      </c>
      <c r="D349" s="480" t="s">
        <v>2416</v>
      </c>
      <c r="E349" s="489" t="s">
        <v>2433</v>
      </c>
      <c r="F349" s="480" t="s">
        <v>2431</v>
      </c>
      <c r="G349" s="412" t="s">
        <v>1737</v>
      </c>
      <c r="H349" s="346" t="s">
        <v>1527</v>
      </c>
      <c r="I349" s="314">
        <f>(92796.61)/1000*$I$5</f>
        <v>92.796610000000001</v>
      </c>
      <c r="J349" s="314">
        <f>I349-(0)/1000*$I$5</f>
        <v>92.796610000000001</v>
      </c>
      <c r="K349" s="480" t="s">
        <v>2422</v>
      </c>
      <c r="L349" s="303"/>
    </row>
    <row r="350" spans="1:12" s="420" customFormat="1" ht="108" x14ac:dyDescent="0.2">
      <c r="A350" s="429"/>
      <c r="B350" s="423" t="s">
        <v>3122</v>
      </c>
      <c r="C350" s="633"/>
      <c r="D350" s="497" t="s">
        <v>3123</v>
      </c>
      <c r="E350" s="449" t="s">
        <v>3124</v>
      </c>
      <c r="F350" s="497" t="s">
        <v>3125</v>
      </c>
      <c r="G350" s="429" t="s">
        <v>1743</v>
      </c>
      <c r="H350" s="450" t="s">
        <v>1943</v>
      </c>
      <c r="I350" s="451">
        <f>1262426.01*$J$5/1000</f>
        <v>1262.4260099999999</v>
      </c>
      <c r="J350" s="451">
        <f>I350-(0)/1000*$I$5</f>
        <v>1262.4260099999999</v>
      </c>
      <c r="K350" s="497"/>
      <c r="L350" s="418"/>
    </row>
    <row r="351" spans="1:12" s="281" customFormat="1" ht="58.5" customHeight="1" x14ac:dyDescent="0.2">
      <c r="A351" s="412"/>
      <c r="B351" s="453" t="s">
        <v>2710</v>
      </c>
      <c r="C351" s="632" t="s">
        <v>2075</v>
      </c>
      <c r="D351" s="480" t="s">
        <v>2086</v>
      </c>
      <c r="E351" s="489" t="s">
        <v>2079</v>
      </c>
      <c r="F351" s="480" t="s">
        <v>2076</v>
      </c>
      <c r="G351" s="412" t="s">
        <v>20</v>
      </c>
      <c r="H351" s="412" t="s">
        <v>638</v>
      </c>
      <c r="I351" s="314">
        <f>(48893322)/1000*$I$5</f>
        <v>48893.322</v>
      </c>
      <c r="J351" s="314">
        <f>I351-(9582012+891342+10082600)/1000*$I$5</f>
        <v>28337.367999999999</v>
      </c>
      <c r="K351" s="480" t="s">
        <v>2078</v>
      </c>
      <c r="L351" s="303"/>
    </row>
    <row r="352" spans="1:12" s="281" customFormat="1" ht="60" x14ac:dyDescent="0.2">
      <c r="A352" s="412"/>
      <c r="B352" s="455" t="s">
        <v>2711</v>
      </c>
      <c r="C352" s="634"/>
      <c r="D352" s="629" t="s">
        <v>2077</v>
      </c>
      <c r="E352" s="489" t="s">
        <v>2114</v>
      </c>
      <c r="F352" s="480" t="s">
        <v>2115</v>
      </c>
      <c r="G352" s="412" t="s">
        <v>1526</v>
      </c>
      <c r="H352" s="412" t="s">
        <v>1636</v>
      </c>
      <c r="I352" s="314">
        <f>(170615)/1000*$I$5</f>
        <v>170.61500000000001</v>
      </c>
      <c r="J352" s="314">
        <f>I352-(143096)/1000*$I$5</f>
        <v>27.519000000000005</v>
      </c>
      <c r="K352" s="480" t="s">
        <v>2534</v>
      </c>
      <c r="L352" s="303"/>
    </row>
    <row r="353" spans="1:12" s="281" customFormat="1" ht="48" x14ac:dyDescent="0.2">
      <c r="A353" s="412"/>
      <c r="B353" s="455" t="s">
        <v>2712</v>
      </c>
      <c r="C353" s="634"/>
      <c r="D353" s="630"/>
      <c r="E353" s="489" t="s">
        <v>2081</v>
      </c>
      <c r="F353" s="480" t="s">
        <v>2080</v>
      </c>
      <c r="G353" s="412" t="s">
        <v>1677</v>
      </c>
      <c r="H353" s="412" t="s">
        <v>1586</v>
      </c>
      <c r="I353" s="314">
        <f>(163186)/1000*$I$5</f>
        <v>163.18600000000001</v>
      </c>
      <c r="J353" s="314">
        <f>I353-(0/1000*$I$5)</f>
        <v>163.18600000000001</v>
      </c>
      <c r="K353" s="480" t="s">
        <v>2535</v>
      </c>
      <c r="L353" s="303"/>
    </row>
    <row r="354" spans="1:12" s="281" customFormat="1" ht="48" x14ac:dyDescent="0.2">
      <c r="A354" s="412"/>
      <c r="B354" s="455" t="s">
        <v>2713</v>
      </c>
      <c r="C354" s="634"/>
      <c r="D354" s="630"/>
      <c r="E354" s="489" t="s">
        <v>2083</v>
      </c>
      <c r="F354" s="480" t="s">
        <v>2082</v>
      </c>
      <c r="G354" s="412" t="s">
        <v>872</v>
      </c>
      <c r="H354" s="412" t="s">
        <v>1586</v>
      </c>
      <c r="I354" s="314">
        <f>(252542)/1000*$I$5</f>
        <v>252.542</v>
      </c>
      <c r="J354" s="314">
        <f>I354-(0/1000*$I$5)</f>
        <v>252.542</v>
      </c>
      <c r="K354" s="480" t="s">
        <v>2534</v>
      </c>
      <c r="L354" s="303"/>
    </row>
    <row r="355" spans="1:12" s="281" customFormat="1" ht="48" x14ac:dyDescent="0.2">
      <c r="A355" s="412"/>
      <c r="B355" s="455" t="s">
        <v>2714</v>
      </c>
      <c r="C355" s="633"/>
      <c r="D355" s="630"/>
      <c r="E355" s="489" t="s">
        <v>2084</v>
      </c>
      <c r="F355" s="480" t="s">
        <v>2082</v>
      </c>
      <c r="G355" s="412" t="s">
        <v>1579</v>
      </c>
      <c r="H355" s="412" t="s">
        <v>1520</v>
      </c>
      <c r="I355" s="314">
        <f>(200000)/1000*$I$5</f>
        <v>200</v>
      </c>
      <c r="J355" s="314">
        <f>I355-(0/1000*$I$5)</f>
        <v>200</v>
      </c>
      <c r="K355" s="480" t="s">
        <v>2534</v>
      </c>
      <c r="L355" s="303"/>
    </row>
    <row r="356" spans="1:12" s="281" customFormat="1" ht="57.75" customHeight="1" x14ac:dyDescent="0.2">
      <c r="A356" s="412"/>
      <c r="B356" s="453" t="s">
        <v>2715</v>
      </c>
      <c r="C356" s="632" t="s">
        <v>3165</v>
      </c>
      <c r="D356" s="630"/>
      <c r="E356" s="489" t="s">
        <v>2109</v>
      </c>
      <c r="F356" s="480" t="s">
        <v>2532</v>
      </c>
      <c r="G356" s="412" t="s">
        <v>872</v>
      </c>
      <c r="H356" s="412" t="s">
        <v>1944</v>
      </c>
      <c r="I356" s="314">
        <f>(4859152)/1000*$I$5</f>
        <v>4859.152</v>
      </c>
      <c r="J356" s="314">
        <f>I356-(671500+59322+508474+118500+220000)/1000*$I$5</f>
        <v>3281.3559999999998</v>
      </c>
      <c r="K356" s="480" t="s">
        <v>2531</v>
      </c>
      <c r="L356" s="345"/>
    </row>
    <row r="357" spans="1:12" s="420" customFormat="1" ht="57.75" customHeight="1" x14ac:dyDescent="0.2">
      <c r="A357" s="429"/>
      <c r="B357" s="423" t="s">
        <v>3162</v>
      </c>
      <c r="C357" s="634"/>
      <c r="D357" s="630"/>
      <c r="E357" s="449" t="s">
        <v>3166</v>
      </c>
      <c r="F357" s="497" t="s">
        <v>3164</v>
      </c>
      <c r="G357" s="429" t="s">
        <v>1742</v>
      </c>
      <c r="H357" s="429" t="s">
        <v>3167</v>
      </c>
      <c r="I357" s="451">
        <f>274335250*$J$5/1000</f>
        <v>274335.25</v>
      </c>
      <c r="J357" s="451">
        <f>I357-(47806760+47248846)/1000*$I$5</f>
        <v>179279.644</v>
      </c>
      <c r="K357" s="497" t="s">
        <v>3163</v>
      </c>
      <c r="L357" s="495"/>
    </row>
    <row r="358" spans="1:12" s="420" customFormat="1" ht="57.75" customHeight="1" x14ac:dyDescent="0.2">
      <c r="A358" s="429"/>
      <c r="B358" s="423" t="s">
        <v>3175</v>
      </c>
      <c r="C358" s="634"/>
      <c r="D358" s="630"/>
      <c r="E358" s="449" t="s">
        <v>3168</v>
      </c>
      <c r="F358" s="497" t="s">
        <v>3169</v>
      </c>
      <c r="G358" s="429" t="s">
        <v>3086</v>
      </c>
      <c r="H358" s="429" t="s">
        <v>2245</v>
      </c>
      <c r="I358" s="451">
        <f>416162*$J$5/1000</f>
        <v>416.16199999999998</v>
      </c>
      <c r="J358" s="451">
        <f>I358-(0)/1000*$I$5</f>
        <v>416.16199999999998</v>
      </c>
      <c r="K358" s="497"/>
      <c r="L358" s="495"/>
    </row>
    <row r="359" spans="1:12" s="420" customFormat="1" ht="57.75" customHeight="1" x14ac:dyDescent="0.2">
      <c r="A359" s="429"/>
      <c r="B359" s="423" t="s">
        <v>3176</v>
      </c>
      <c r="C359" s="633"/>
      <c r="D359" s="631"/>
      <c r="E359" s="449" t="s">
        <v>3170</v>
      </c>
      <c r="F359" s="497" t="s">
        <v>3171</v>
      </c>
      <c r="G359" s="429" t="s">
        <v>2982</v>
      </c>
      <c r="H359" s="429" t="s">
        <v>3167</v>
      </c>
      <c r="I359" s="451">
        <f>332736.67*$J$5/1000</f>
        <v>332.73667</v>
      </c>
      <c r="J359" s="451">
        <f>I359-(0)/1000*$I$5</f>
        <v>332.73667</v>
      </c>
      <c r="K359" s="497"/>
      <c r="L359" s="495"/>
    </row>
    <row r="360" spans="1:12" s="281" customFormat="1" ht="258" customHeight="1" x14ac:dyDescent="0.2">
      <c r="A360" s="412"/>
      <c r="B360" s="455" t="s">
        <v>2716</v>
      </c>
      <c r="C360" s="481" t="s">
        <v>2388</v>
      </c>
      <c r="D360" s="480" t="s">
        <v>2386</v>
      </c>
      <c r="E360" s="489" t="s">
        <v>2389</v>
      </c>
      <c r="F360" s="480" t="s">
        <v>2387</v>
      </c>
      <c r="G360" s="412" t="s">
        <v>1579</v>
      </c>
      <c r="H360" s="412" t="s">
        <v>1614</v>
      </c>
      <c r="I360" s="314">
        <f>(40184996+21073300)/1000*$I$5</f>
        <v>61258.296000000002</v>
      </c>
      <c r="J360" s="314">
        <f>I360-(654178+339582+750000+14364996+3661200+750000+350000+3457288)/1000*$I$5</f>
        <v>36931.052000000003</v>
      </c>
      <c r="K360" s="480" t="s">
        <v>2530</v>
      </c>
      <c r="L360" s="345"/>
    </row>
    <row r="361" spans="1:12" s="281" customFormat="1" ht="84" x14ac:dyDescent="0.2">
      <c r="A361" s="412"/>
      <c r="B361" s="300" t="s">
        <v>2717</v>
      </c>
      <c r="C361" s="481" t="s">
        <v>2536</v>
      </c>
      <c r="D361" s="480" t="s">
        <v>2537</v>
      </c>
      <c r="E361" s="489" t="s">
        <v>3138</v>
      </c>
      <c r="F361" s="480" t="s">
        <v>2528</v>
      </c>
      <c r="G361" s="412" t="s">
        <v>1526</v>
      </c>
      <c r="H361" s="346" t="s">
        <v>1636</v>
      </c>
      <c r="I361" s="314">
        <f>(800000)/1000*$I$5</f>
        <v>800</v>
      </c>
      <c r="J361" s="314">
        <f>I361-(0)/1000*$I$5</f>
        <v>800</v>
      </c>
      <c r="K361" s="480" t="s">
        <v>2529</v>
      </c>
      <c r="L361" s="303"/>
    </row>
    <row r="362" spans="1:12" s="281" customFormat="1" ht="120" x14ac:dyDescent="0.2">
      <c r="A362" s="412"/>
      <c r="B362" s="455" t="s">
        <v>2718</v>
      </c>
      <c r="C362" s="481" t="s">
        <v>2212</v>
      </c>
      <c r="D362" s="480" t="s">
        <v>2205</v>
      </c>
      <c r="E362" s="489" t="s">
        <v>2206</v>
      </c>
      <c r="F362" s="480" t="s">
        <v>2207</v>
      </c>
      <c r="G362" s="412" t="s">
        <v>17</v>
      </c>
      <c r="H362" s="412" t="s">
        <v>598</v>
      </c>
      <c r="I362" s="314">
        <f>(2975092)/1000*$I$5</f>
        <v>2975.0920000000001</v>
      </c>
      <c r="J362" s="314">
        <f>I362-(0)/1000*$I$5</f>
        <v>2975.0920000000001</v>
      </c>
      <c r="K362" s="480" t="s">
        <v>2208</v>
      </c>
      <c r="L362" s="303"/>
    </row>
    <row r="363" spans="1:12" s="420" customFormat="1" ht="57.75" customHeight="1" x14ac:dyDescent="0.2">
      <c r="A363" s="429"/>
      <c r="B363" s="413" t="s">
        <v>3252</v>
      </c>
      <c r="C363" s="414" t="s">
        <v>3217</v>
      </c>
      <c r="D363" s="657" t="s">
        <v>3185</v>
      </c>
      <c r="E363" s="449" t="s">
        <v>3187</v>
      </c>
      <c r="F363" s="497" t="s">
        <v>3186</v>
      </c>
      <c r="G363" s="429" t="s">
        <v>1944</v>
      </c>
      <c r="H363" s="429" t="s">
        <v>3167</v>
      </c>
      <c r="I363" s="451">
        <f>703361097/1000*$J$5</f>
        <v>703361.09699999995</v>
      </c>
      <c r="J363" s="451">
        <f>I363-(71078460+383573)/1000*$I$5</f>
        <v>631899.06400000001</v>
      </c>
      <c r="K363" s="497" t="s">
        <v>3184</v>
      </c>
      <c r="L363" s="418"/>
    </row>
    <row r="364" spans="1:12" s="420" customFormat="1" ht="60" x14ac:dyDescent="0.2">
      <c r="A364" s="429"/>
      <c r="B364" s="413" t="s">
        <v>3253</v>
      </c>
      <c r="C364" s="414" t="s">
        <v>3188</v>
      </c>
      <c r="D364" s="658"/>
      <c r="E364" s="449" t="s">
        <v>3189</v>
      </c>
      <c r="F364" s="497" t="s">
        <v>3190</v>
      </c>
      <c r="G364" s="429" t="s">
        <v>3023</v>
      </c>
      <c r="H364" s="429" t="s">
        <v>3191</v>
      </c>
      <c r="I364" s="451">
        <f>80823240/1000*$J$5</f>
        <v>80823.240000000005</v>
      </c>
      <c r="J364" s="451">
        <f>I364-(76782078)/1000*$I$5</f>
        <v>4041.1620000000112</v>
      </c>
      <c r="K364" s="497"/>
      <c r="L364" s="418"/>
    </row>
    <row r="365" spans="1:12" s="420" customFormat="1" ht="86.25" customHeight="1" x14ac:dyDescent="0.2">
      <c r="A365" s="429"/>
      <c r="B365" s="413" t="s">
        <v>3254</v>
      </c>
      <c r="C365" s="414" t="s">
        <v>3218</v>
      </c>
      <c r="D365" s="497" t="s">
        <v>3221</v>
      </c>
      <c r="E365" s="449" t="s">
        <v>3220</v>
      </c>
      <c r="F365" s="497" t="s">
        <v>3219</v>
      </c>
      <c r="G365" s="429" t="s">
        <v>1943</v>
      </c>
      <c r="H365" s="429" t="s">
        <v>2982</v>
      </c>
      <c r="I365" s="451">
        <f>5200000/1000*$J$5</f>
        <v>5200</v>
      </c>
      <c r="J365" s="451">
        <f>I365-(3500000)/1000*$I$5</f>
        <v>1700</v>
      </c>
      <c r="K365" s="497"/>
      <c r="L365" s="418"/>
    </row>
    <row r="366" spans="1:12" s="420" customFormat="1" ht="144" x14ac:dyDescent="0.2">
      <c r="A366" s="429"/>
      <c r="B366" s="413" t="s">
        <v>3255</v>
      </c>
      <c r="C366" s="414" t="s">
        <v>3140</v>
      </c>
      <c r="D366" s="497" t="s">
        <v>3142</v>
      </c>
      <c r="E366" s="449" t="s">
        <v>3141</v>
      </c>
      <c r="F366" s="497" t="s">
        <v>3139</v>
      </c>
      <c r="G366" s="429" t="s">
        <v>2989</v>
      </c>
      <c r="H366" s="450" t="s">
        <v>3143</v>
      </c>
      <c r="I366" s="451">
        <f>(1100000000)/1000*$I$5</f>
        <v>1100000</v>
      </c>
      <c r="J366" s="451">
        <f>I366-(118072433+239523734+7541666+2384794)/1000*$I$5</f>
        <v>732477.37300000002</v>
      </c>
      <c r="K366" s="497"/>
      <c r="L366" s="418"/>
    </row>
    <row r="367" spans="1:12" s="281" customFormat="1" ht="108" x14ac:dyDescent="0.2">
      <c r="A367" s="412"/>
      <c r="B367" s="455" t="s">
        <v>2719</v>
      </c>
      <c r="C367" s="481" t="s">
        <v>2171</v>
      </c>
      <c r="D367" s="480" t="s">
        <v>2173</v>
      </c>
      <c r="E367" s="489" t="s">
        <v>2174</v>
      </c>
      <c r="F367" s="480" t="s">
        <v>2175</v>
      </c>
      <c r="G367" s="412" t="s">
        <v>1554</v>
      </c>
      <c r="H367" s="412" t="s">
        <v>1591</v>
      </c>
      <c r="I367" s="314">
        <f>(4555372)/1000*$I$5</f>
        <v>4555.3720000000003</v>
      </c>
      <c r="J367" s="314">
        <f>I367-(2000000+638467)/1000*$I$5</f>
        <v>1916.9050000000002</v>
      </c>
      <c r="K367" s="480" t="s">
        <v>2176</v>
      </c>
      <c r="L367" s="303"/>
    </row>
    <row r="368" spans="1:12" s="281" customFormat="1" ht="120" x14ac:dyDescent="0.2">
      <c r="A368" s="412"/>
      <c r="B368" s="455" t="s">
        <v>2720</v>
      </c>
      <c r="C368" s="481" t="s">
        <v>2172</v>
      </c>
      <c r="D368" s="480"/>
      <c r="E368" s="489" t="s">
        <v>2177</v>
      </c>
      <c r="F368" s="480" t="s">
        <v>2178</v>
      </c>
      <c r="G368" s="412" t="s">
        <v>15</v>
      </c>
      <c r="H368" s="412" t="s">
        <v>1830</v>
      </c>
      <c r="I368" s="314">
        <f>(4255098)/1000*$I$5</f>
        <v>4255.098</v>
      </c>
      <c r="J368" s="314">
        <f>I368-(0)/1000*$I$5</f>
        <v>4255.098</v>
      </c>
      <c r="K368" s="480" t="s">
        <v>2181</v>
      </c>
      <c r="L368" s="303"/>
    </row>
    <row r="369" spans="1:12" s="281" customFormat="1" ht="108" x14ac:dyDescent="0.2">
      <c r="A369" s="412"/>
      <c r="B369" s="455" t="s">
        <v>2721</v>
      </c>
      <c r="C369" s="481" t="s">
        <v>2179</v>
      </c>
      <c r="D369" s="480"/>
      <c r="E369" s="489" t="s">
        <v>2183</v>
      </c>
      <c r="F369" s="480" t="s">
        <v>2180</v>
      </c>
      <c r="G369" s="412" t="s">
        <v>1635</v>
      </c>
      <c r="H369" s="412" t="s">
        <v>1526</v>
      </c>
      <c r="I369" s="314">
        <f>(4211179)/1000*$I$5</f>
        <v>4211.1790000000001</v>
      </c>
      <c r="J369" s="314">
        <f>I369-(0)/1000*$I$5</f>
        <v>4211.1790000000001</v>
      </c>
      <c r="K369" s="480" t="s">
        <v>2182</v>
      </c>
      <c r="L369" s="303"/>
    </row>
    <row r="370" spans="1:12" s="281" customFormat="1" ht="96" x14ac:dyDescent="0.2">
      <c r="A370" s="412"/>
      <c r="B370" s="455" t="s">
        <v>2722</v>
      </c>
      <c r="C370" s="481" t="s">
        <v>2508</v>
      </c>
      <c r="D370" s="480" t="s">
        <v>2509</v>
      </c>
      <c r="E370" s="489" t="s">
        <v>2510</v>
      </c>
      <c r="F370" s="480" t="s">
        <v>2507</v>
      </c>
      <c r="G370" s="412" t="s">
        <v>1875</v>
      </c>
      <c r="H370" s="412" t="s">
        <v>1526</v>
      </c>
      <c r="I370" s="331">
        <f>(1271186)/1000*$I$5</f>
        <v>1271.1859999999999</v>
      </c>
      <c r="J370" s="331">
        <f t="shared" ref="J370:J378" si="11">I370-(0/1000*$I$5)</f>
        <v>1271.1859999999999</v>
      </c>
      <c r="K370" s="480" t="s">
        <v>2511</v>
      </c>
      <c r="L370" s="303"/>
    </row>
    <row r="371" spans="1:12" s="281" customFormat="1" ht="96" x14ac:dyDescent="0.2">
      <c r="A371" s="412"/>
      <c r="B371" s="455" t="s">
        <v>2723</v>
      </c>
      <c r="C371" s="632" t="s">
        <v>2512</v>
      </c>
      <c r="D371" s="480"/>
      <c r="E371" s="489" t="s">
        <v>2513</v>
      </c>
      <c r="F371" s="480" t="s">
        <v>2514</v>
      </c>
      <c r="G371" s="412" t="s">
        <v>1526</v>
      </c>
      <c r="H371" s="412" t="s">
        <v>1636</v>
      </c>
      <c r="I371" s="331">
        <f>(500000)/1000*$I$5</f>
        <v>500</v>
      </c>
      <c r="J371" s="331">
        <f t="shared" si="11"/>
        <v>500</v>
      </c>
      <c r="K371" s="480" t="s">
        <v>2517</v>
      </c>
      <c r="L371" s="303"/>
    </row>
    <row r="372" spans="1:12" s="281" customFormat="1" ht="108" x14ac:dyDescent="0.2">
      <c r="A372" s="412"/>
      <c r="B372" s="455" t="s">
        <v>2724</v>
      </c>
      <c r="C372" s="633"/>
      <c r="D372" s="480"/>
      <c r="E372" s="489" t="s">
        <v>2515</v>
      </c>
      <c r="F372" s="480" t="s">
        <v>2516</v>
      </c>
      <c r="G372" s="412" t="s">
        <v>1526</v>
      </c>
      <c r="H372" s="412" t="s">
        <v>1636</v>
      </c>
      <c r="I372" s="331">
        <f>(500000)/1000*$I$5</f>
        <v>500</v>
      </c>
      <c r="J372" s="331">
        <f t="shared" si="11"/>
        <v>500</v>
      </c>
      <c r="K372" s="480" t="s">
        <v>2517</v>
      </c>
      <c r="L372" s="303"/>
    </row>
    <row r="373" spans="1:12" s="281" customFormat="1" ht="94.5" customHeight="1" x14ac:dyDescent="0.2">
      <c r="A373" s="332"/>
      <c r="B373" s="455" t="s">
        <v>2725</v>
      </c>
      <c r="C373" s="485" t="s">
        <v>2124</v>
      </c>
      <c r="D373" s="486" t="s">
        <v>2125</v>
      </c>
      <c r="E373" s="335" t="s">
        <v>2126</v>
      </c>
      <c r="F373" s="486" t="s">
        <v>2128</v>
      </c>
      <c r="G373" s="332" t="s">
        <v>18</v>
      </c>
      <c r="H373" s="332" t="s">
        <v>1559</v>
      </c>
      <c r="I373" s="331">
        <f>(6864194)/1000*$I$5</f>
        <v>6864.1940000000004</v>
      </c>
      <c r="J373" s="331">
        <f t="shared" si="11"/>
        <v>6864.1940000000004</v>
      </c>
      <c r="K373" s="486" t="s">
        <v>2127</v>
      </c>
      <c r="L373" s="303"/>
    </row>
    <row r="374" spans="1:12" s="281" customFormat="1" ht="60" x14ac:dyDescent="0.2">
      <c r="A374" s="412"/>
      <c r="B374" s="453" t="s">
        <v>2726</v>
      </c>
      <c r="C374" s="632" t="s">
        <v>2085</v>
      </c>
      <c r="D374" s="629" t="s">
        <v>2086</v>
      </c>
      <c r="E374" s="489" t="s">
        <v>2092</v>
      </c>
      <c r="F374" s="480" t="s">
        <v>2087</v>
      </c>
      <c r="G374" s="412" t="s">
        <v>1554</v>
      </c>
      <c r="H374" s="412" t="s">
        <v>613</v>
      </c>
      <c r="I374" s="314">
        <f>(15084745)/1000*$I$5</f>
        <v>15084.745000000001</v>
      </c>
      <c r="J374" s="314">
        <f t="shared" si="11"/>
        <v>15084.745000000001</v>
      </c>
      <c r="K374" s="480" t="s">
        <v>2100</v>
      </c>
      <c r="L374" s="480" t="s">
        <v>2099</v>
      </c>
    </row>
    <row r="375" spans="1:12" s="330" customFormat="1" ht="60" x14ac:dyDescent="0.2">
      <c r="A375" s="332"/>
      <c r="B375" s="455" t="s">
        <v>2727</v>
      </c>
      <c r="C375" s="634"/>
      <c r="D375" s="630"/>
      <c r="E375" s="335" t="s">
        <v>2095</v>
      </c>
      <c r="F375" s="486" t="s">
        <v>2088</v>
      </c>
      <c r="G375" s="332" t="s">
        <v>1554</v>
      </c>
      <c r="H375" s="332" t="s">
        <v>613</v>
      </c>
      <c r="I375" s="331">
        <f>(5508474)/1000*$I$5</f>
        <v>5508.4740000000002</v>
      </c>
      <c r="J375" s="331">
        <f t="shared" si="11"/>
        <v>5508.4740000000002</v>
      </c>
      <c r="K375" s="486" t="s">
        <v>2100</v>
      </c>
      <c r="L375" s="336"/>
    </row>
    <row r="376" spans="1:12" s="330" customFormat="1" ht="60" x14ac:dyDescent="0.2">
      <c r="A376" s="332"/>
      <c r="B376" s="455" t="s">
        <v>2728</v>
      </c>
      <c r="C376" s="634"/>
      <c r="D376" s="630"/>
      <c r="E376" s="335" t="s">
        <v>2096</v>
      </c>
      <c r="F376" s="486" t="s">
        <v>2089</v>
      </c>
      <c r="G376" s="332" t="s">
        <v>1554</v>
      </c>
      <c r="H376" s="332" t="s">
        <v>613</v>
      </c>
      <c r="I376" s="331">
        <f>(2889831)/1000*$I$5</f>
        <v>2889.8310000000001</v>
      </c>
      <c r="J376" s="331">
        <f t="shared" si="11"/>
        <v>2889.8310000000001</v>
      </c>
      <c r="K376" s="486" t="s">
        <v>2100</v>
      </c>
      <c r="L376" s="336"/>
    </row>
    <row r="377" spans="1:12" s="330" customFormat="1" ht="72" x14ac:dyDescent="0.2">
      <c r="A377" s="332"/>
      <c r="B377" s="455" t="s">
        <v>2729</v>
      </c>
      <c r="C377" s="634"/>
      <c r="D377" s="630"/>
      <c r="E377" s="335" t="s">
        <v>2097</v>
      </c>
      <c r="F377" s="486" t="s">
        <v>2090</v>
      </c>
      <c r="G377" s="332" t="s">
        <v>1554</v>
      </c>
      <c r="H377" s="332" t="s">
        <v>613</v>
      </c>
      <c r="I377" s="331">
        <f>(3686441)/1000*$I$5</f>
        <v>3686.4409999999998</v>
      </c>
      <c r="J377" s="331">
        <f t="shared" si="11"/>
        <v>3686.4409999999998</v>
      </c>
      <c r="K377" s="486" t="s">
        <v>2100</v>
      </c>
      <c r="L377" s="336"/>
    </row>
    <row r="378" spans="1:12" s="330" customFormat="1" ht="60" x14ac:dyDescent="0.2">
      <c r="A378" s="332"/>
      <c r="B378" s="455" t="s">
        <v>2730</v>
      </c>
      <c r="C378" s="634"/>
      <c r="D378" s="630"/>
      <c r="E378" s="335" t="s">
        <v>2098</v>
      </c>
      <c r="F378" s="486" t="s">
        <v>2091</v>
      </c>
      <c r="G378" s="332" t="s">
        <v>1554</v>
      </c>
      <c r="H378" s="332" t="s">
        <v>613</v>
      </c>
      <c r="I378" s="331">
        <f>(13983051)/1000*$I$5</f>
        <v>13983.050999999999</v>
      </c>
      <c r="J378" s="331">
        <f t="shared" si="11"/>
        <v>13983.050999999999</v>
      </c>
      <c r="K378" s="486" t="s">
        <v>2100</v>
      </c>
      <c r="L378" s="336"/>
    </row>
    <row r="379" spans="1:12" s="330" customFormat="1" ht="60" x14ac:dyDescent="0.2">
      <c r="A379" s="332"/>
      <c r="B379" s="455" t="s">
        <v>2731</v>
      </c>
      <c r="C379" s="634"/>
      <c r="D379" s="630"/>
      <c r="E379" s="335" t="s">
        <v>2094</v>
      </c>
      <c r="F379" s="486" t="s">
        <v>2093</v>
      </c>
      <c r="G379" s="332" t="s">
        <v>1677</v>
      </c>
      <c r="H379" s="332" t="s">
        <v>1522</v>
      </c>
      <c r="I379" s="331">
        <f>(20738831)/1000*$I$5</f>
        <v>20738.830999999998</v>
      </c>
      <c r="J379" s="331">
        <f>I379-(743174/1000*$I$5)</f>
        <v>19995.656999999999</v>
      </c>
      <c r="K379" s="486" t="s">
        <v>2100</v>
      </c>
      <c r="L379" s="336"/>
    </row>
    <row r="380" spans="1:12" s="330" customFormat="1" ht="60" x14ac:dyDescent="0.2">
      <c r="A380" s="332"/>
      <c r="B380" s="455" t="s">
        <v>2732</v>
      </c>
      <c r="C380" s="634"/>
      <c r="D380" s="630"/>
      <c r="E380" s="335" t="s">
        <v>2102</v>
      </c>
      <c r="F380" s="486" t="s">
        <v>2101</v>
      </c>
      <c r="G380" s="332" t="s">
        <v>1636</v>
      </c>
      <c r="H380" s="332" t="s">
        <v>1643</v>
      </c>
      <c r="I380" s="331">
        <f>(357374)/1000*$I$5</f>
        <v>357.37400000000002</v>
      </c>
      <c r="J380" s="331">
        <f>I380-(0/1000*$I$5)</f>
        <v>357.37400000000002</v>
      </c>
      <c r="K380" s="486" t="s">
        <v>2103</v>
      </c>
      <c r="L380" s="336"/>
    </row>
    <row r="381" spans="1:12" s="330" customFormat="1" ht="60" x14ac:dyDescent="0.2">
      <c r="A381" s="332"/>
      <c r="B381" s="455" t="s">
        <v>2733</v>
      </c>
      <c r="C381" s="634"/>
      <c r="D381" s="630"/>
      <c r="E381" s="335" t="s">
        <v>2106</v>
      </c>
      <c r="F381" s="486" t="s">
        <v>2101</v>
      </c>
      <c r="G381" s="332" t="s">
        <v>1943</v>
      </c>
      <c r="H381" s="332" t="s">
        <v>2104</v>
      </c>
      <c r="I381" s="331">
        <f>(355518)/1000*$I$5</f>
        <v>355.51799999999997</v>
      </c>
      <c r="J381" s="331">
        <f>I381-(0/1000*$I$5)</f>
        <v>355.51799999999997</v>
      </c>
      <c r="K381" s="486" t="s">
        <v>2105</v>
      </c>
      <c r="L381" s="336"/>
    </row>
    <row r="382" spans="1:12" s="330" customFormat="1" ht="96" x14ac:dyDescent="0.2">
      <c r="A382" s="332"/>
      <c r="B382" s="455" t="s">
        <v>2734</v>
      </c>
      <c r="C382" s="634"/>
      <c r="D382" s="630"/>
      <c r="E382" s="335" t="s">
        <v>2113</v>
      </c>
      <c r="F382" s="486" t="s">
        <v>2107</v>
      </c>
      <c r="G382" s="332" t="s">
        <v>1579</v>
      </c>
      <c r="H382" s="332" t="s">
        <v>1575</v>
      </c>
      <c r="I382" s="331">
        <f>(389830.51)/1000*$I$5</f>
        <v>389.83051</v>
      </c>
      <c r="J382" s="331">
        <f>I382-(80000/1000*$I$5)</f>
        <v>309.83051</v>
      </c>
      <c r="K382" s="486" t="s">
        <v>2437</v>
      </c>
      <c r="L382" s="336"/>
    </row>
    <row r="383" spans="1:12" s="330" customFormat="1" ht="72" x14ac:dyDescent="0.2">
      <c r="A383" s="332"/>
      <c r="B383" s="455" t="s">
        <v>2735</v>
      </c>
      <c r="C383" s="634"/>
      <c r="D383" s="630"/>
      <c r="E383" s="335" t="s">
        <v>2112</v>
      </c>
      <c r="F383" s="486" t="s">
        <v>2108</v>
      </c>
      <c r="G383" s="332" t="s">
        <v>1579</v>
      </c>
      <c r="H383" s="332" t="s">
        <v>1575</v>
      </c>
      <c r="I383" s="331">
        <f>(419492)/1000*$I$5</f>
        <v>419.49200000000002</v>
      </c>
      <c r="J383" s="331">
        <f>I383-(70000/1000*$I$5)</f>
        <v>349.49200000000002</v>
      </c>
      <c r="K383" s="486" t="s">
        <v>2436</v>
      </c>
      <c r="L383" s="336"/>
    </row>
    <row r="384" spans="1:12" s="330" customFormat="1" ht="72" x14ac:dyDescent="0.2">
      <c r="A384" s="332"/>
      <c r="B384" s="455" t="s">
        <v>2736</v>
      </c>
      <c r="C384" s="634"/>
      <c r="D384" s="631"/>
      <c r="E384" s="335" t="s">
        <v>2111</v>
      </c>
      <c r="F384" s="486" t="s">
        <v>2110</v>
      </c>
      <c r="G384" s="332" t="s">
        <v>1614</v>
      </c>
      <c r="H384" s="332" t="s">
        <v>1875</v>
      </c>
      <c r="I384" s="331">
        <f>(422034)/1000*$I$5</f>
        <v>422.03399999999999</v>
      </c>
      <c r="J384" s="331">
        <f>I384-(155000/1000*$I$5)</f>
        <v>267.03399999999999</v>
      </c>
      <c r="K384" s="486" t="s">
        <v>2436</v>
      </c>
      <c r="L384" s="336"/>
    </row>
    <row r="385" spans="1:12" s="420" customFormat="1" ht="60" x14ac:dyDescent="0.2">
      <c r="A385" s="429"/>
      <c r="B385" s="423" t="s">
        <v>3172</v>
      </c>
      <c r="C385" s="633"/>
      <c r="D385" s="497"/>
      <c r="E385" s="449" t="s">
        <v>3173</v>
      </c>
      <c r="F385" s="497" t="s">
        <v>3174</v>
      </c>
      <c r="G385" s="429" t="s">
        <v>2989</v>
      </c>
      <c r="H385" s="429" t="s">
        <v>3023</v>
      </c>
      <c r="I385" s="451">
        <f>(415833)/1000*$J$5</f>
        <v>415.83300000000003</v>
      </c>
      <c r="J385" s="451">
        <f>I385-(200000/1000*$I$5)</f>
        <v>215.83300000000003</v>
      </c>
      <c r="K385" s="496"/>
      <c r="L385" s="418"/>
    </row>
    <row r="386" spans="1:12" s="330" customFormat="1" ht="93.75" customHeight="1" x14ac:dyDescent="0.2">
      <c r="A386" s="332"/>
      <c r="B386" s="300" t="s">
        <v>2737</v>
      </c>
      <c r="C386" s="485" t="s">
        <v>2957</v>
      </c>
      <c r="D386" s="486" t="s">
        <v>2958</v>
      </c>
      <c r="E386" s="335" t="s">
        <v>2435</v>
      </c>
      <c r="F386" s="486" t="s">
        <v>2434</v>
      </c>
      <c r="G386" s="332" t="s">
        <v>638</v>
      </c>
      <c r="H386" s="450" t="s">
        <v>3121</v>
      </c>
      <c r="I386" s="451">
        <f>(429244813)/1000*$I$5</f>
        <v>429244.81300000002</v>
      </c>
      <c r="J386" s="451">
        <f>I386-(74020790+23211544)/1000*$I$5</f>
        <v>332012.47900000005</v>
      </c>
      <c r="K386" s="347" t="s">
        <v>2438</v>
      </c>
      <c r="L386" s="336"/>
    </row>
    <row r="387" spans="1:12" s="330" customFormat="1" ht="72" x14ac:dyDescent="0.2">
      <c r="A387" s="332"/>
      <c r="B387" s="300" t="s">
        <v>2241</v>
      </c>
      <c r="C387" s="485" t="s">
        <v>2738</v>
      </c>
      <c r="D387" s="486" t="s">
        <v>2334</v>
      </c>
      <c r="E387" s="335" t="s">
        <v>2333</v>
      </c>
      <c r="F387" s="486" t="s">
        <v>2332</v>
      </c>
      <c r="G387" s="332" t="s">
        <v>613</v>
      </c>
      <c r="H387" s="332" t="s">
        <v>1522</v>
      </c>
      <c r="I387" s="331">
        <f>(170384)/1000*$I$5</f>
        <v>170.38399999999999</v>
      </c>
      <c r="J387" s="331">
        <f>I387-(57177/1000*$I$5)</f>
        <v>113.20699999999999</v>
      </c>
      <c r="K387" s="347" t="s">
        <v>2331</v>
      </c>
      <c r="L387" s="336"/>
    </row>
    <row r="388" spans="1:12" s="330" customFormat="1" ht="96" x14ac:dyDescent="0.2">
      <c r="A388" s="332"/>
      <c r="B388" s="300" t="s">
        <v>2739</v>
      </c>
      <c r="C388" s="485" t="s">
        <v>2335</v>
      </c>
      <c r="D388" s="486" t="s">
        <v>2337</v>
      </c>
      <c r="E388" s="335" t="s">
        <v>2338</v>
      </c>
      <c r="F388" s="486" t="s">
        <v>2336</v>
      </c>
      <c r="G388" s="332" t="s">
        <v>1721</v>
      </c>
      <c r="H388" s="332" t="s">
        <v>1677</v>
      </c>
      <c r="I388" s="331">
        <f>(935511.27)/1000*$I$5</f>
        <v>935.51126999999997</v>
      </c>
      <c r="J388" s="331">
        <f>I388-(57177/1000*$I$5)</f>
        <v>878.33426999999995</v>
      </c>
      <c r="K388" s="347" t="s">
        <v>2339</v>
      </c>
      <c r="L388" s="336"/>
    </row>
    <row r="389" spans="1:12" s="330" customFormat="1" ht="120" customHeight="1" x14ac:dyDescent="0.2">
      <c r="A389" s="332"/>
      <c r="B389" s="455" t="s">
        <v>2740</v>
      </c>
      <c r="C389" s="636" t="s">
        <v>2227</v>
      </c>
      <c r="D389" s="639" t="s">
        <v>2226</v>
      </c>
      <c r="E389" s="335" t="s">
        <v>2223</v>
      </c>
      <c r="F389" s="486" t="s">
        <v>2224</v>
      </c>
      <c r="G389" s="332" t="s">
        <v>598</v>
      </c>
      <c r="H389" s="332" t="s">
        <v>1559</v>
      </c>
      <c r="I389" s="331">
        <f>(508475)/1000*$I$5</f>
        <v>508.47500000000002</v>
      </c>
      <c r="J389" s="331">
        <f>I389-(0/1000*$I$5)</f>
        <v>508.47500000000002</v>
      </c>
      <c r="K389" s="347" t="s">
        <v>2225</v>
      </c>
      <c r="L389" s="336"/>
    </row>
    <row r="390" spans="1:12" s="330" customFormat="1" ht="36" x14ac:dyDescent="0.2">
      <c r="A390" s="332"/>
      <c r="B390" s="455" t="s">
        <v>2741</v>
      </c>
      <c r="C390" s="637"/>
      <c r="D390" s="640"/>
      <c r="E390" s="335" t="s">
        <v>2228</v>
      </c>
      <c r="F390" s="486" t="s">
        <v>2229</v>
      </c>
      <c r="G390" s="332" t="s">
        <v>1586</v>
      </c>
      <c r="H390" s="332" t="s">
        <v>1520</v>
      </c>
      <c r="I390" s="331">
        <f>(662605.23)/1000*$I$5</f>
        <v>662.60523000000001</v>
      </c>
      <c r="J390" s="331">
        <f>I390-(0/1000*$I$5)</f>
        <v>662.60523000000001</v>
      </c>
      <c r="K390" s="347" t="s">
        <v>2230</v>
      </c>
      <c r="L390" s="336"/>
    </row>
    <row r="391" spans="1:12" s="330" customFormat="1" ht="36" x14ac:dyDescent="0.2">
      <c r="A391" s="332"/>
      <c r="B391" s="412" t="s">
        <v>2742</v>
      </c>
      <c r="C391" s="638"/>
      <c r="D391" s="641"/>
      <c r="E391" s="335" t="s">
        <v>2231</v>
      </c>
      <c r="F391" s="486" t="s">
        <v>2232</v>
      </c>
      <c r="G391" s="332" t="s">
        <v>1520</v>
      </c>
      <c r="H391" s="332" t="s">
        <v>1520</v>
      </c>
      <c r="I391" s="331">
        <f>(45985)/1000*$I$5</f>
        <v>45.984999999999999</v>
      </c>
      <c r="J391" s="331">
        <f>I391-(0/1000*$I$5)</f>
        <v>45.984999999999999</v>
      </c>
      <c r="K391" s="347" t="s">
        <v>2233</v>
      </c>
      <c r="L391" s="336"/>
    </row>
    <row r="392" spans="1:12" s="281" customFormat="1" ht="144" customHeight="1" x14ac:dyDescent="0.2">
      <c r="A392" s="412" t="s">
        <v>2241</v>
      </c>
      <c r="B392" s="455" t="s">
        <v>2743</v>
      </c>
      <c r="C392" s="481" t="s">
        <v>2240</v>
      </c>
      <c r="D392" s="629" t="s">
        <v>2242</v>
      </c>
      <c r="E392" s="489" t="s">
        <v>2243</v>
      </c>
      <c r="F392" s="480" t="s">
        <v>2244</v>
      </c>
      <c r="G392" s="412" t="s">
        <v>21</v>
      </c>
      <c r="H392" s="412" t="s">
        <v>2245</v>
      </c>
      <c r="I392" s="314"/>
      <c r="J392" s="314"/>
      <c r="K392" s="341" t="s">
        <v>2263</v>
      </c>
      <c r="L392" s="303"/>
    </row>
    <row r="393" spans="1:12" s="281" customFormat="1" ht="60" x14ac:dyDescent="0.2">
      <c r="A393" s="412" t="s">
        <v>2246</v>
      </c>
      <c r="B393" s="373" t="s">
        <v>2744</v>
      </c>
      <c r="C393" s="483" t="s">
        <v>2247</v>
      </c>
      <c r="D393" s="630"/>
      <c r="E393" s="646"/>
      <c r="F393" s="480" t="s">
        <v>2248</v>
      </c>
      <c r="G393" s="412" t="s">
        <v>531</v>
      </c>
      <c r="H393" s="412" t="s">
        <v>2245</v>
      </c>
      <c r="I393" s="314">
        <f>(82845259)/1000*$I$5</f>
        <v>82845.259000000005</v>
      </c>
      <c r="J393" s="314">
        <f>I393-(79465331/1000*$I$5)</f>
        <v>3379.9279999999999</v>
      </c>
      <c r="K393" s="341"/>
      <c r="L393" s="303"/>
    </row>
    <row r="394" spans="1:12" s="281" customFormat="1" ht="36" x14ac:dyDescent="0.2">
      <c r="A394" s="412"/>
      <c r="B394" s="373" t="s">
        <v>2745</v>
      </c>
      <c r="C394" s="483" t="s">
        <v>2249</v>
      </c>
      <c r="D394" s="630"/>
      <c r="E394" s="647"/>
      <c r="F394" s="480" t="s">
        <v>2250</v>
      </c>
      <c r="G394" s="412" t="s">
        <v>21</v>
      </c>
      <c r="H394" s="412" t="s">
        <v>1526</v>
      </c>
      <c r="I394" s="314">
        <f>(12567770)/1000*$I$5</f>
        <v>12567.77</v>
      </c>
      <c r="J394" s="314">
        <f>I394-(11977097/1000*$I$5)</f>
        <v>590.67300000000068</v>
      </c>
      <c r="K394" s="341"/>
      <c r="L394" s="303"/>
    </row>
    <row r="395" spans="1:12" s="281" customFormat="1" ht="48" x14ac:dyDescent="0.2">
      <c r="A395" s="412"/>
      <c r="B395" s="373" t="s">
        <v>2746</v>
      </c>
      <c r="C395" s="483" t="s">
        <v>2253</v>
      </c>
      <c r="D395" s="630"/>
      <c r="E395" s="647"/>
      <c r="F395" s="480" t="s">
        <v>2254</v>
      </c>
      <c r="G395" s="412" t="s">
        <v>21</v>
      </c>
      <c r="H395" s="412" t="s">
        <v>598</v>
      </c>
      <c r="I395" s="314">
        <f>(12687566)/1000*$I$5</f>
        <v>12687.566000000001</v>
      </c>
      <c r="J395" s="314">
        <f>I395-(12068660/1000*$I$5)</f>
        <v>618.90600000000086</v>
      </c>
      <c r="K395" s="341"/>
      <c r="L395" s="303"/>
    </row>
    <row r="396" spans="1:12" s="281" customFormat="1" ht="79.5" x14ac:dyDescent="0.2">
      <c r="A396" s="412"/>
      <c r="B396" s="373" t="s">
        <v>2747</v>
      </c>
      <c r="C396" s="483" t="s">
        <v>2251</v>
      </c>
      <c r="D396" s="630"/>
      <c r="E396" s="647"/>
      <c r="F396" s="480" t="s">
        <v>2252</v>
      </c>
      <c r="G396" s="412" t="s">
        <v>531</v>
      </c>
      <c r="H396" s="346" t="s">
        <v>2277</v>
      </c>
      <c r="I396" s="314">
        <f>(73407495)/1000*$I$5</f>
        <v>73407.494999999995</v>
      </c>
      <c r="J396" s="438">
        <f>I396-((1481855+400517+1258081+663878+69644+1997794+794636+1991119+385000)/1000*$I$5)</f>
        <v>64364.970999999998</v>
      </c>
      <c r="K396" s="341"/>
      <c r="L396" s="303"/>
    </row>
    <row r="397" spans="1:12" s="281" customFormat="1" ht="48" x14ac:dyDescent="0.2">
      <c r="A397" s="412"/>
      <c r="B397" s="373" t="s">
        <v>2748</v>
      </c>
      <c r="C397" s="483" t="s">
        <v>2255</v>
      </c>
      <c r="D397" s="630"/>
      <c r="E397" s="647"/>
      <c r="F397" s="480" t="s">
        <v>2256</v>
      </c>
      <c r="G397" s="412" t="s">
        <v>18</v>
      </c>
      <c r="H397" s="346" t="s">
        <v>3025</v>
      </c>
      <c r="I397" s="438">
        <f>(70971920)/1000*$I$5</f>
        <v>70971.92</v>
      </c>
      <c r="J397" s="314">
        <f>I397-((62140610)/1000*$I$5)</f>
        <v>8831.3099999999977</v>
      </c>
      <c r="K397" s="341"/>
      <c r="L397" s="303"/>
    </row>
    <row r="398" spans="1:12" s="281" customFormat="1" ht="48" x14ac:dyDescent="0.2">
      <c r="A398" s="412"/>
      <c r="B398" s="373" t="s">
        <v>2749</v>
      </c>
      <c r="C398" s="483" t="s">
        <v>2257</v>
      </c>
      <c r="D398" s="630"/>
      <c r="E398" s="647"/>
      <c r="F398" s="480" t="s">
        <v>2258</v>
      </c>
      <c r="G398" s="412" t="s">
        <v>20</v>
      </c>
      <c r="H398" s="412" t="s">
        <v>1643</v>
      </c>
      <c r="I398" s="314">
        <f>(46662642)/1000*$I$5</f>
        <v>46662.642</v>
      </c>
      <c r="J398" s="314">
        <f>I398-((33904315+3048264)/1000*$I$5)</f>
        <v>9710.0630000000019</v>
      </c>
      <c r="K398" s="341"/>
      <c r="L398" s="303"/>
    </row>
    <row r="399" spans="1:12" s="281" customFormat="1" ht="36" x14ac:dyDescent="0.2">
      <c r="A399" s="412"/>
      <c r="B399" s="373" t="s">
        <v>2750</v>
      </c>
      <c r="C399" s="483" t="s">
        <v>2259</v>
      </c>
      <c r="D399" s="630"/>
      <c r="E399" s="647"/>
      <c r="F399" s="480" t="s">
        <v>2260</v>
      </c>
      <c r="G399" s="412" t="s">
        <v>20</v>
      </c>
      <c r="H399" s="412" t="s">
        <v>598</v>
      </c>
      <c r="I399" s="314">
        <f>(7379055)/1000*$I$5</f>
        <v>7379.0550000000003</v>
      </c>
      <c r="J399" s="314">
        <f>I399-(6920126/1000*$I$5)</f>
        <v>458.92900000000009</v>
      </c>
      <c r="K399" s="341"/>
      <c r="L399" s="303"/>
    </row>
    <row r="400" spans="1:12" s="281" customFormat="1" ht="48" x14ac:dyDescent="0.2">
      <c r="A400" s="412"/>
      <c r="B400" s="373" t="s">
        <v>2751</v>
      </c>
      <c r="C400" s="483" t="s">
        <v>2266</v>
      </c>
      <c r="D400" s="630"/>
      <c r="E400" s="647"/>
      <c r="F400" s="480" t="s">
        <v>2264</v>
      </c>
      <c r="G400" s="412" t="s">
        <v>1554</v>
      </c>
      <c r="H400" s="346" t="s">
        <v>3233</v>
      </c>
      <c r="I400" s="314">
        <f>(67053300)/1000*$I$5</f>
        <v>67053.3</v>
      </c>
      <c r="J400" s="314">
        <f>I400-((24308074+4511530+20398534)/1000*$I$5)</f>
        <v>17835.162000000004</v>
      </c>
      <c r="K400" s="341"/>
      <c r="L400" s="303"/>
    </row>
    <row r="401" spans="1:12" s="281" customFormat="1" ht="48" x14ac:dyDescent="0.2">
      <c r="A401" s="412"/>
      <c r="B401" s="373" t="s">
        <v>2752</v>
      </c>
      <c r="C401" s="483" t="s">
        <v>2261</v>
      </c>
      <c r="D401" s="630"/>
      <c r="E401" s="647"/>
      <c r="F401" s="480" t="s">
        <v>2262</v>
      </c>
      <c r="G401" s="412" t="s">
        <v>613</v>
      </c>
      <c r="H401" s="412" t="s">
        <v>1575</v>
      </c>
      <c r="I401" s="314">
        <f>(42507919)/1000*$I$5</f>
        <v>42507.919000000002</v>
      </c>
      <c r="J401" s="314">
        <f>I401-(39915973/1000*$I$5)</f>
        <v>2591.9460000000036</v>
      </c>
      <c r="K401" s="341"/>
      <c r="L401" s="303"/>
    </row>
    <row r="402" spans="1:12" s="281" customFormat="1" ht="57" x14ac:dyDescent="0.2">
      <c r="A402" s="412"/>
      <c r="B402" s="373" t="s">
        <v>2753</v>
      </c>
      <c r="C402" s="483" t="s">
        <v>2265</v>
      </c>
      <c r="D402" s="630"/>
      <c r="E402" s="647"/>
      <c r="F402" s="480" t="s">
        <v>2267</v>
      </c>
      <c r="G402" s="412" t="s">
        <v>872</v>
      </c>
      <c r="H402" s="448" t="s">
        <v>3234</v>
      </c>
      <c r="I402" s="438">
        <f>(83111780)/1000*$I$5</f>
        <v>83111.78</v>
      </c>
      <c r="J402" s="438">
        <f>I402-((1807606+2480815+149930+4082577+1042855+15809)/1000*$I$5)</f>
        <v>73532.187999999995</v>
      </c>
      <c r="K402" s="341"/>
      <c r="L402" s="303"/>
    </row>
    <row r="403" spans="1:12" s="281" customFormat="1" ht="48" x14ac:dyDescent="0.2">
      <c r="A403" s="412"/>
      <c r="B403" s="373" t="s">
        <v>2754</v>
      </c>
      <c r="C403" s="483" t="s">
        <v>2269</v>
      </c>
      <c r="D403" s="630"/>
      <c r="E403" s="647"/>
      <c r="F403" s="480" t="s">
        <v>2268</v>
      </c>
      <c r="G403" s="412" t="s">
        <v>1737</v>
      </c>
      <c r="H403" s="412" t="s">
        <v>1527</v>
      </c>
      <c r="I403" s="314">
        <f>(7986984)/1000*$I$5</f>
        <v>7986.9840000000004</v>
      </c>
      <c r="J403" s="314">
        <f>I403-(7694777/1000*$I$5)</f>
        <v>292.20700000000033</v>
      </c>
      <c r="K403" s="341"/>
      <c r="L403" s="303"/>
    </row>
    <row r="404" spans="1:12" s="281" customFormat="1" ht="48" x14ac:dyDescent="0.2">
      <c r="A404" s="412"/>
      <c r="B404" s="373" t="s">
        <v>2755</v>
      </c>
      <c r="C404" s="483" t="s">
        <v>2271</v>
      </c>
      <c r="D404" s="630"/>
      <c r="E404" s="647"/>
      <c r="F404" s="480" t="s">
        <v>2270</v>
      </c>
      <c r="G404" s="412" t="s">
        <v>1737</v>
      </c>
      <c r="H404" s="412" t="s">
        <v>1527</v>
      </c>
      <c r="I404" s="314">
        <f>(7149953)/1000*$I$5</f>
        <v>7149.9530000000004</v>
      </c>
      <c r="J404" s="314">
        <f>I404-(6888368/1000*$I$5)</f>
        <v>261.58500000000004</v>
      </c>
      <c r="K404" s="341"/>
      <c r="L404" s="303"/>
    </row>
    <row r="405" spans="1:12" s="281" customFormat="1" ht="57" x14ac:dyDescent="0.2">
      <c r="A405" s="412"/>
      <c r="B405" s="373" t="s">
        <v>2756</v>
      </c>
      <c r="C405" s="483" t="s">
        <v>2273</v>
      </c>
      <c r="D405" s="630"/>
      <c r="E405" s="647"/>
      <c r="F405" s="480" t="s">
        <v>2272</v>
      </c>
      <c r="G405" s="412" t="s">
        <v>1737</v>
      </c>
      <c r="H405" s="448" t="s">
        <v>3235</v>
      </c>
      <c r="I405" s="438">
        <f>(64266653)/1000*$I$5</f>
        <v>64266.652999999998</v>
      </c>
      <c r="J405" s="438">
        <f>I405-((1154426+2172443)/1000*$I$5)</f>
        <v>60939.784</v>
      </c>
      <c r="K405" s="341"/>
      <c r="L405" s="303"/>
    </row>
    <row r="406" spans="1:12" s="281" customFormat="1" ht="57" x14ac:dyDescent="0.2">
      <c r="A406" s="412"/>
      <c r="B406" s="373" t="s">
        <v>2757</v>
      </c>
      <c r="C406" s="483" t="s">
        <v>2275</v>
      </c>
      <c r="D406" s="630"/>
      <c r="E406" s="647"/>
      <c r="F406" s="480" t="s">
        <v>2274</v>
      </c>
      <c r="G406" s="412" t="s">
        <v>1737</v>
      </c>
      <c r="H406" s="448" t="s">
        <v>3236</v>
      </c>
      <c r="I406" s="438">
        <f>(48291863)/1000*$I$5</f>
        <v>48291.862999999998</v>
      </c>
      <c r="J406" s="438">
        <f>I406-((1128093+1382582+573017)/1000*$I$5)</f>
        <v>45208.170999999995</v>
      </c>
      <c r="K406" s="341"/>
      <c r="L406" s="303"/>
    </row>
    <row r="407" spans="1:12" s="281" customFormat="1" ht="48" x14ac:dyDescent="0.2">
      <c r="A407" s="412"/>
      <c r="B407" s="373" t="s">
        <v>2758</v>
      </c>
      <c r="C407" s="483" t="s">
        <v>2280</v>
      </c>
      <c r="D407" s="630"/>
      <c r="E407" s="647"/>
      <c r="F407" s="480" t="s">
        <v>2276</v>
      </c>
      <c r="G407" s="412" t="s">
        <v>1737</v>
      </c>
      <c r="H407" s="346" t="s">
        <v>3237</v>
      </c>
      <c r="I407" s="314">
        <f>(129431)/1000*$I$5</f>
        <v>129.43100000000001</v>
      </c>
      <c r="J407" s="314">
        <f>I407-(0/1000*$I$5)</f>
        <v>129.43100000000001</v>
      </c>
      <c r="K407" s="341"/>
      <c r="L407" s="303"/>
    </row>
    <row r="408" spans="1:12" s="436" customFormat="1" ht="60" x14ac:dyDescent="0.2">
      <c r="A408" s="442"/>
      <c r="B408" s="502" t="s">
        <v>3257</v>
      </c>
      <c r="C408" s="509" t="s">
        <v>3240</v>
      </c>
      <c r="D408" s="630"/>
      <c r="E408" s="647"/>
      <c r="F408" s="491" t="s">
        <v>3238</v>
      </c>
      <c r="G408" s="442" t="s">
        <v>3086</v>
      </c>
      <c r="H408" s="448" t="s">
        <v>3241</v>
      </c>
      <c r="I408" s="438">
        <f>(43838113)/1000*$I$5</f>
        <v>43838.112999999998</v>
      </c>
      <c r="J408" s="438">
        <f>I408-(1072109/1000*$I$5)</f>
        <v>42766.004000000001</v>
      </c>
      <c r="K408" s="503"/>
      <c r="L408" s="443"/>
    </row>
    <row r="409" spans="1:12" s="436" customFormat="1" ht="57" x14ac:dyDescent="0.2">
      <c r="A409" s="442"/>
      <c r="B409" s="502" t="s">
        <v>3256</v>
      </c>
      <c r="C409" s="509" t="s">
        <v>3242</v>
      </c>
      <c r="D409" s="631"/>
      <c r="E409" s="648"/>
      <c r="F409" s="491" t="s">
        <v>3239</v>
      </c>
      <c r="G409" s="442" t="s">
        <v>1944</v>
      </c>
      <c r="H409" s="448" t="s">
        <v>3243</v>
      </c>
      <c r="I409" s="438">
        <f>21339133*$J$5/1000</f>
        <v>21339.133000000002</v>
      </c>
      <c r="J409" s="438">
        <f>I409-(4634565/1000*$J$5)</f>
        <v>16704.568000000003</v>
      </c>
      <c r="K409" s="503"/>
      <c r="L409" s="443"/>
    </row>
    <row r="410" spans="1:12" s="436" customFormat="1" ht="66.75" customHeight="1" x14ac:dyDescent="0.2">
      <c r="A410" s="442"/>
      <c r="B410" s="502" t="s">
        <v>3258</v>
      </c>
      <c r="C410" s="509" t="s">
        <v>2251</v>
      </c>
      <c r="D410" s="649" t="s">
        <v>3230</v>
      </c>
      <c r="E410" s="445" t="s">
        <v>3231</v>
      </c>
      <c r="F410" s="491" t="s">
        <v>3229</v>
      </c>
      <c r="G410" s="442" t="s">
        <v>2245</v>
      </c>
      <c r="H410" s="442" t="s">
        <v>2245</v>
      </c>
      <c r="I410" s="438">
        <f>4617200*$J$5/1000</f>
        <v>4617.2</v>
      </c>
      <c r="J410" s="438">
        <f>I410-(0/1000*$J$5)</f>
        <v>4617.2</v>
      </c>
      <c r="K410" s="503"/>
      <c r="L410" s="443"/>
    </row>
    <row r="411" spans="1:12" s="436" customFormat="1" ht="66" customHeight="1" x14ac:dyDescent="0.2">
      <c r="A411" s="442"/>
      <c r="B411" s="502" t="s">
        <v>3259</v>
      </c>
      <c r="C411" s="509" t="s">
        <v>2257</v>
      </c>
      <c r="D411" s="650"/>
      <c r="E411" s="445" t="s">
        <v>3268</v>
      </c>
      <c r="F411" s="491" t="s">
        <v>3232</v>
      </c>
      <c r="G411" s="442" t="s">
        <v>2245</v>
      </c>
      <c r="H411" s="448" t="s">
        <v>2245</v>
      </c>
      <c r="I411" s="438">
        <f>592871.87*$J$5/1000</f>
        <v>592.87186999999994</v>
      </c>
      <c r="J411" s="438">
        <f>I411-(0/1000*$J$5)</f>
        <v>592.87186999999994</v>
      </c>
      <c r="K411" s="503"/>
      <c r="L411" s="443"/>
    </row>
    <row r="412" spans="1:12" s="281" customFormat="1" ht="108" x14ac:dyDescent="0.2">
      <c r="A412" s="412"/>
      <c r="B412" s="300" t="s">
        <v>2759</v>
      </c>
      <c r="C412" s="484" t="s">
        <v>2341</v>
      </c>
      <c r="D412" s="480" t="s">
        <v>2348</v>
      </c>
      <c r="E412" s="489" t="s">
        <v>2342</v>
      </c>
      <c r="F412" s="480" t="s">
        <v>2347</v>
      </c>
      <c r="G412" s="412" t="s">
        <v>1586</v>
      </c>
      <c r="H412" s="412" t="s">
        <v>1520</v>
      </c>
      <c r="I412" s="314">
        <f>(2378550.72)/1000*$I$5</f>
        <v>2378.5507200000002</v>
      </c>
      <c r="J412" s="314">
        <f>I412-(1019575/1000*$I$5)</f>
        <v>1358.9757200000001</v>
      </c>
      <c r="K412" s="341" t="s">
        <v>2340</v>
      </c>
      <c r="L412" s="303"/>
    </row>
    <row r="413" spans="1:12" s="281" customFormat="1" ht="168" x14ac:dyDescent="0.2">
      <c r="A413" s="412"/>
      <c r="B413" s="300" t="s">
        <v>2760</v>
      </c>
      <c r="C413" s="481" t="s">
        <v>2344</v>
      </c>
      <c r="D413" s="480" t="s">
        <v>2349</v>
      </c>
      <c r="E413" s="489" t="s">
        <v>2346</v>
      </c>
      <c r="F413" s="480" t="s">
        <v>2343</v>
      </c>
      <c r="G413" s="412" t="s">
        <v>1586</v>
      </c>
      <c r="H413" s="412" t="s">
        <v>1586</v>
      </c>
      <c r="I413" s="314">
        <f>(624370)/1000*$I$5</f>
        <v>624.37</v>
      </c>
      <c r="J413" s="314">
        <f>I413-(254894/1000*$I$5)</f>
        <v>369.476</v>
      </c>
      <c r="K413" s="341" t="s">
        <v>2345</v>
      </c>
      <c r="L413" s="303"/>
    </row>
    <row r="414" spans="1:12" s="281" customFormat="1" ht="108" x14ac:dyDescent="0.2">
      <c r="A414" s="412"/>
      <c r="B414" s="300" t="s">
        <v>2761</v>
      </c>
      <c r="C414" s="481" t="s">
        <v>2351</v>
      </c>
      <c r="D414" s="480" t="s">
        <v>2352</v>
      </c>
      <c r="E414" s="489" t="s">
        <v>2353</v>
      </c>
      <c r="F414" s="480" t="s">
        <v>2350</v>
      </c>
      <c r="G414" s="412" t="s">
        <v>872</v>
      </c>
      <c r="H414" s="412" t="s">
        <v>1586</v>
      </c>
      <c r="I414" s="314">
        <f>(1801066)/1000*$I$5</f>
        <v>1801.066</v>
      </c>
      <c r="J414" s="314">
        <f>I414-(1801066/1000*$I$5)</f>
        <v>0</v>
      </c>
      <c r="K414" s="341"/>
      <c r="L414" s="303"/>
    </row>
    <row r="415" spans="1:12" s="330" customFormat="1" ht="72.75" customHeight="1" x14ac:dyDescent="0.2">
      <c r="A415" s="412"/>
      <c r="B415" s="300" t="s">
        <v>2766</v>
      </c>
      <c r="C415" s="481" t="s">
        <v>2234</v>
      </c>
      <c r="D415" s="629" t="s">
        <v>2762</v>
      </c>
      <c r="E415" s="489" t="s">
        <v>2211</v>
      </c>
      <c r="F415" s="480" t="s">
        <v>2209</v>
      </c>
      <c r="G415" s="412" t="s">
        <v>15</v>
      </c>
      <c r="H415" s="346" t="s">
        <v>3177</v>
      </c>
      <c r="I415" s="314">
        <f>(82879640)/1000*$I$5</f>
        <v>82879.64</v>
      </c>
      <c r="J415" s="314">
        <f>I415-(15683489+585646+990259+432139+408474)/1000*$I$5</f>
        <v>64779.633000000002</v>
      </c>
      <c r="K415" s="480" t="s">
        <v>2210</v>
      </c>
      <c r="L415" s="336"/>
    </row>
    <row r="416" spans="1:12" s="330" customFormat="1" ht="93.75" customHeight="1" x14ac:dyDescent="0.2">
      <c r="A416" s="332"/>
      <c r="B416" s="300" t="s">
        <v>2767</v>
      </c>
      <c r="C416" s="485" t="s">
        <v>2765</v>
      </c>
      <c r="D416" s="631"/>
      <c r="E416" s="335" t="s">
        <v>2445</v>
      </c>
      <c r="F416" s="486" t="s">
        <v>2763</v>
      </c>
      <c r="G416" s="332" t="s">
        <v>2447</v>
      </c>
      <c r="H416" s="450" t="s">
        <v>3178</v>
      </c>
      <c r="I416" s="451">
        <f>(46792105)/1000*$J$5</f>
        <v>46792.105000000003</v>
      </c>
      <c r="J416" s="451">
        <f>I416-(4178163)/1000*$J$5</f>
        <v>42613.942000000003</v>
      </c>
      <c r="K416" s="486" t="s">
        <v>2764</v>
      </c>
      <c r="L416" s="336"/>
    </row>
    <row r="417" spans="1:14" ht="72" x14ac:dyDescent="0.2">
      <c r="A417" s="75" t="s">
        <v>751</v>
      </c>
      <c r="B417" s="455" t="s">
        <v>2768</v>
      </c>
      <c r="C417" s="469" t="s">
        <v>2542</v>
      </c>
      <c r="D417" s="466" t="s">
        <v>1315</v>
      </c>
      <c r="E417" s="181" t="s">
        <v>2004</v>
      </c>
      <c r="F417" s="466" t="s">
        <v>1316</v>
      </c>
      <c r="G417" s="77" t="s">
        <v>569</v>
      </c>
      <c r="H417" s="77" t="s">
        <v>91</v>
      </c>
      <c r="I417" s="193">
        <f>(18977634)/1000*$I$5</f>
        <v>18977.633999999998</v>
      </c>
      <c r="J417" s="193">
        <f>I417-(9713106)/1000*$I$5</f>
        <v>9264.5279999999984</v>
      </c>
      <c r="K417" s="466" t="s">
        <v>567</v>
      </c>
      <c r="L417" s="78"/>
      <c r="M417" s="60" t="s">
        <v>568</v>
      </c>
    </row>
    <row r="418" spans="1:14" s="281" customFormat="1" ht="69" customHeight="1" x14ac:dyDescent="0.2">
      <c r="A418" s="412"/>
      <c r="B418" s="455" t="s">
        <v>2769</v>
      </c>
      <c r="C418" s="481"/>
      <c r="D418" s="480" t="s">
        <v>629</v>
      </c>
      <c r="E418" s="489" t="s">
        <v>2122</v>
      </c>
      <c r="F418" s="480" t="s">
        <v>2541</v>
      </c>
      <c r="G418" s="300" t="s">
        <v>63</v>
      </c>
      <c r="H418" s="300" t="s">
        <v>1559</v>
      </c>
      <c r="I418" s="314">
        <f>(7100000)/1000*$I$5</f>
        <v>7100</v>
      </c>
      <c r="J418" s="314">
        <f>I418-(0)/1000*$I$5</f>
        <v>7100</v>
      </c>
      <c r="K418" s="480" t="s">
        <v>2123</v>
      </c>
      <c r="L418" s="303"/>
    </row>
    <row r="419" spans="1:14" s="281" customFormat="1" ht="96" customHeight="1" x14ac:dyDescent="0.2">
      <c r="A419" s="412"/>
      <c r="B419" s="455" t="s">
        <v>2770</v>
      </c>
      <c r="C419" s="632" t="s">
        <v>2549</v>
      </c>
      <c r="D419" s="629" t="s">
        <v>2543</v>
      </c>
      <c r="E419" s="489" t="s">
        <v>2544</v>
      </c>
      <c r="F419" s="480" t="s">
        <v>2545</v>
      </c>
      <c r="G419" s="300" t="s">
        <v>1643</v>
      </c>
      <c r="H419" s="300" t="s">
        <v>3023</v>
      </c>
      <c r="I419" s="314">
        <f>(21438125)/1000*$J$5</f>
        <v>21438.125</v>
      </c>
      <c r="J419" s="314">
        <f>I419-(0)/1000*$I$5</f>
        <v>21438.125</v>
      </c>
      <c r="K419" s="480" t="s">
        <v>2546</v>
      </c>
      <c r="L419" s="303"/>
    </row>
    <row r="420" spans="1:14" s="420" customFormat="1" ht="60" x14ac:dyDescent="0.2">
      <c r="A420" s="429"/>
      <c r="B420" s="423" t="s">
        <v>3132</v>
      </c>
      <c r="C420" s="634"/>
      <c r="D420" s="630"/>
      <c r="E420" s="449" t="s">
        <v>3129</v>
      </c>
      <c r="F420" s="497" t="s">
        <v>3130</v>
      </c>
      <c r="G420" s="413" t="s">
        <v>3086</v>
      </c>
      <c r="H420" s="426" t="s">
        <v>3131</v>
      </c>
      <c r="I420" s="451">
        <f>136833333/1000*$J$5</f>
        <v>136833.33300000001</v>
      </c>
      <c r="J420" s="451">
        <f>I420-(3425000+7141309)/1000*$J$5</f>
        <v>126267.02400000002</v>
      </c>
      <c r="K420" s="497"/>
      <c r="L420" s="418"/>
    </row>
    <row r="421" spans="1:14" s="420" customFormat="1" ht="131.25" customHeight="1" x14ac:dyDescent="0.2">
      <c r="A421" s="429"/>
      <c r="B421" s="423" t="s">
        <v>3133</v>
      </c>
      <c r="C421" s="452" t="s">
        <v>3134</v>
      </c>
      <c r="D421" s="631"/>
      <c r="E421" s="449" t="s">
        <v>3135</v>
      </c>
      <c r="F421" s="497" t="s">
        <v>3136</v>
      </c>
      <c r="G421" s="413" t="s">
        <v>3086</v>
      </c>
      <c r="H421" s="426" t="s">
        <v>3137</v>
      </c>
      <c r="I421" s="451">
        <f>180000000/1000*$J$5</f>
        <v>180000</v>
      </c>
      <c r="J421" s="451">
        <f>I421-(67422197)/1000*$J$5</f>
        <v>112577.803</v>
      </c>
      <c r="K421" s="497"/>
      <c r="L421" s="418"/>
    </row>
    <row r="422" spans="1:14" s="281" customFormat="1" ht="96" x14ac:dyDescent="0.2">
      <c r="A422" s="412"/>
      <c r="B422" s="412" t="s">
        <v>2771</v>
      </c>
      <c r="C422" s="481" t="s">
        <v>2549</v>
      </c>
      <c r="D422" s="480" t="s">
        <v>2548</v>
      </c>
      <c r="E422" s="489" t="s">
        <v>2551</v>
      </c>
      <c r="F422" s="480" t="s">
        <v>2547</v>
      </c>
      <c r="G422" s="300" t="s">
        <v>1643</v>
      </c>
      <c r="H422" s="300" t="s">
        <v>1527</v>
      </c>
      <c r="I422" s="314">
        <f>(829621)/1000*$I$5</f>
        <v>829.62099999999998</v>
      </c>
      <c r="J422" s="314">
        <f>I422-(0)/1000*$I$5</f>
        <v>829.62099999999998</v>
      </c>
      <c r="K422" s="480"/>
      <c r="L422" s="303"/>
    </row>
    <row r="423" spans="1:14" ht="80.25" customHeight="1" x14ac:dyDescent="0.2">
      <c r="A423" s="75" t="s">
        <v>752</v>
      </c>
      <c r="B423" s="455" t="s">
        <v>2772</v>
      </c>
      <c r="C423" s="607" t="s">
        <v>782</v>
      </c>
      <c r="D423" s="466" t="s">
        <v>1318</v>
      </c>
      <c r="E423" s="181" t="s">
        <v>614</v>
      </c>
      <c r="F423" s="466" t="s">
        <v>1319</v>
      </c>
      <c r="G423" s="77" t="s">
        <v>95</v>
      </c>
      <c r="H423" s="77" t="s">
        <v>104</v>
      </c>
      <c r="I423" s="193">
        <f>(10466390)/1000*$I$5</f>
        <v>10466.39</v>
      </c>
      <c r="J423" s="193">
        <f>I423-(0)/1000*$I$5</f>
        <v>10466.39</v>
      </c>
      <c r="K423" s="66" t="s">
        <v>615</v>
      </c>
      <c r="L423" s="78"/>
      <c r="M423" s="60" t="s">
        <v>614</v>
      </c>
    </row>
    <row r="424" spans="1:14" s="281" customFormat="1" ht="114" customHeight="1" x14ac:dyDescent="0.2">
      <c r="A424" s="412"/>
      <c r="B424" s="455" t="s">
        <v>2774</v>
      </c>
      <c r="C424" s="608"/>
      <c r="D424" s="480" t="s">
        <v>2005</v>
      </c>
      <c r="E424" s="489" t="s">
        <v>2006</v>
      </c>
      <c r="F424" s="480" t="s">
        <v>2007</v>
      </c>
      <c r="G424" s="300" t="s">
        <v>872</v>
      </c>
      <c r="H424" s="300" t="s">
        <v>1520</v>
      </c>
      <c r="I424" s="314">
        <f>(12650000)/1000*$I$5</f>
        <v>12650</v>
      </c>
      <c r="J424" s="314">
        <f>I424-(0)/1000*$I$5</f>
        <v>12650</v>
      </c>
      <c r="K424" s="299" t="s">
        <v>2009</v>
      </c>
      <c r="L424" s="303"/>
    </row>
    <row r="425" spans="1:14" s="281" customFormat="1" ht="78.75" customHeight="1" x14ac:dyDescent="0.2">
      <c r="A425" s="455"/>
      <c r="B425" s="455" t="s">
        <v>2773</v>
      </c>
      <c r="C425" s="608"/>
      <c r="D425" s="479" t="s">
        <v>2011</v>
      </c>
      <c r="E425" s="488" t="s">
        <v>2010</v>
      </c>
      <c r="F425" s="479" t="s">
        <v>2008</v>
      </c>
      <c r="G425" s="453" t="s">
        <v>1586</v>
      </c>
      <c r="H425" s="453" t="s">
        <v>1520</v>
      </c>
      <c r="I425" s="279">
        <f>(1446689.11)/1000*$I$5</f>
        <v>1446.68911</v>
      </c>
      <c r="J425" s="279">
        <f>I425-(0)/1000*$I$5</f>
        <v>1446.68911</v>
      </c>
      <c r="K425" s="299" t="s">
        <v>2012</v>
      </c>
      <c r="L425" s="303"/>
    </row>
    <row r="426" spans="1:14" s="281" customFormat="1" ht="36" x14ac:dyDescent="0.2">
      <c r="A426" s="300"/>
      <c r="B426" s="453" t="s">
        <v>2775</v>
      </c>
      <c r="C426" s="481" t="s">
        <v>2013</v>
      </c>
      <c r="D426" s="299"/>
      <c r="E426" s="298"/>
      <c r="F426" s="299"/>
      <c r="G426" s="300"/>
      <c r="H426" s="300"/>
      <c r="I426" s="301"/>
      <c r="J426" s="301"/>
      <c r="K426" s="299"/>
      <c r="L426" s="303"/>
    </row>
    <row r="427" spans="1:14" s="281" customFormat="1" ht="84" x14ac:dyDescent="0.2">
      <c r="A427" s="412"/>
      <c r="B427" s="455" t="s">
        <v>2776</v>
      </c>
      <c r="C427" s="481" t="s">
        <v>2014</v>
      </c>
      <c r="D427" s="480" t="s">
        <v>2019</v>
      </c>
      <c r="E427" s="489" t="s">
        <v>2016</v>
      </c>
      <c r="F427" s="480" t="s">
        <v>2020</v>
      </c>
      <c r="G427" s="300" t="s">
        <v>1554</v>
      </c>
      <c r="H427" s="300" t="s">
        <v>1520</v>
      </c>
      <c r="I427" s="314">
        <f>(8180369.68)/1000*$I$5</f>
        <v>8180.3696799999998</v>
      </c>
      <c r="J427" s="314">
        <f>I427-(186416+66291)/1000*$I$5</f>
        <v>7927.6626799999995</v>
      </c>
      <c r="K427" s="299" t="s">
        <v>2018</v>
      </c>
      <c r="L427" s="303"/>
    </row>
    <row r="428" spans="1:14" s="281" customFormat="1" ht="48" x14ac:dyDescent="0.2">
      <c r="A428" s="412"/>
      <c r="B428" s="455" t="s">
        <v>2777</v>
      </c>
      <c r="C428" s="481" t="s">
        <v>2014</v>
      </c>
      <c r="D428" s="480"/>
      <c r="E428" s="489" t="s">
        <v>2023</v>
      </c>
      <c r="F428" s="480" t="s">
        <v>2021</v>
      </c>
      <c r="G428" s="300" t="s">
        <v>1586</v>
      </c>
      <c r="H428" s="300" t="s">
        <v>1614</v>
      </c>
      <c r="I428" s="314">
        <f>(11354320.27+2332029.35)/1000*$I$5</f>
        <v>13686.349619999999</v>
      </c>
      <c r="J428" s="314">
        <f>I428-(470325.95+64964+28594)/1000*$I$5</f>
        <v>13122.46567</v>
      </c>
      <c r="K428" s="299" t="s">
        <v>2022</v>
      </c>
      <c r="L428" s="303"/>
    </row>
    <row r="429" spans="1:14" s="281" customFormat="1" ht="36" x14ac:dyDescent="0.2">
      <c r="A429" s="412"/>
      <c r="B429" s="455" t="s">
        <v>2778</v>
      </c>
      <c r="C429" s="481" t="s">
        <v>2287</v>
      </c>
      <c r="D429" s="480"/>
      <c r="E429" s="489" t="s">
        <v>2288</v>
      </c>
      <c r="F429" s="480" t="s">
        <v>2286</v>
      </c>
      <c r="G429" s="300" t="s">
        <v>613</v>
      </c>
      <c r="H429" s="300" t="s">
        <v>1830</v>
      </c>
      <c r="I429" s="314">
        <f>(1918547.11)/1000*$I$5</f>
        <v>1918.5471100000002</v>
      </c>
      <c r="J429" s="314">
        <f>I429-(0)/1000*$I$5</f>
        <v>1918.5471100000002</v>
      </c>
      <c r="K429" s="299" t="s">
        <v>2285</v>
      </c>
      <c r="L429" s="303"/>
    </row>
    <row r="430" spans="1:14" s="281" customFormat="1" ht="114" customHeight="1" x14ac:dyDescent="0.2">
      <c r="A430" s="412"/>
      <c r="B430" s="412" t="s">
        <v>2779</v>
      </c>
      <c r="C430" s="484" t="s">
        <v>2014</v>
      </c>
      <c r="D430" s="480" t="s">
        <v>2015</v>
      </c>
      <c r="E430" s="489" t="s">
        <v>2017</v>
      </c>
      <c r="F430" s="480" t="s">
        <v>2959</v>
      </c>
      <c r="G430" s="300" t="s">
        <v>1559</v>
      </c>
      <c r="H430" s="300" t="s">
        <v>638</v>
      </c>
      <c r="I430" s="314">
        <f>(1234821.32)/1000*$I$5</f>
        <v>1234.82132</v>
      </c>
      <c r="J430" s="314">
        <f>I430-(1209855.08)/1000*$I$5</f>
        <v>24.966239999999971</v>
      </c>
      <c r="K430" s="299" t="s">
        <v>2960</v>
      </c>
      <c r="L430" s="303"/>
    </row>
    <row r="431" spans="1:14" ht="84" customHeight="1" x14ac:dyDescent="0.2">
      <c r="A431" s="75" t="s">
        <v>753</v>
      </c>
      <c r="B431" s="412" t="s">
        <v>2780</v>
      </c>
      <c r="C431" s="607" t="s">
        <v>783</v>
      </c>
      <c r="D431" s="582" t="s">
        <v>629</v>
      </c>
      <c r="E431" s="181" t="s">
        <v>2116</v>
      </c>
      <c r="F431" s="466" t="s">
        <v>1320</v>
      </c>
      <c r="G431" s="468" t="s">
        <v>95</v>
      </c>
      <c r="H431" s="468" t="s">
        <v>21</v>
      </c>
      <c r="I431" s="193">
        <f>(19971733.7)/1000*$I$5</f>
        <v>19971.733700000001</v>
      </c>
      <c r="J431" s="193">
        <f>I431-(0)/1000*$I$5</f>
        <v>19971.733700000001</v>
      </c>
      <c r="K431" s="66" t="s">
        <v>631</v>
      </c>
      <c r="L431" s="78"/>
      <c r="M431" s="68" t="s">
        <v>630</v>
      </c>
      <c r="N431" s="60">
        <v>19971733.699999999</v>
      </c>
    </row>
    <row r="432" spans="1:14" s="281" customFormat="1" ht="72" x14ac:dyDescent="0.2">
      <c r="A432" s="412"/>
      <c r="B432" s="412" t="s">
        <v>2781</v>
      </c>
      <c r="C432" s="608"/>
      <c r="D432" s="583"/>
      <c r="E432" s="488" t="s">
        <v>2117</v>
      </c>
      <c r="F432" s="479" t="s">
        <v>2961</v>
      </c>
      <c r="G432" s="455" t="s">
        <v>21</v>
      </c>
      <c r="H432" s="455" t="s">
        <v>15</v>
      </c>
      <c r="I432" s="279">
        <f>(1928109)/1000*$I$5</f>
        <v>1928.1089999999999</v>
      </c>
      <c r="J432" s="279">
        <f>I432-(0)/1000*$I$5</f>
        <v>1928.1089999999999</v>
      </c>
      <c r="K432" s="479"/>
      <c r="L432" s="280"/>
      <c r="M432" s="296"/>
    </row>
    <row r="433" spans="1:14" s="281" customFormat="1" ht="72" x14ac:dyDescent="0.2">
      <c r="A433" s="412"/>
      <c r="B433" s="412" t="s">
        <v>2782</v>
      </c>
      <c r="C433" s="608"/>
      <c r="D433" s="583"/>
      <c r="E433" s="488" t="s">
        <v>2118</v>
      </c>
      <c r="F433" s="479" t="s">
        <v>2119</v>
      </c>
      <c r="G433" s="455" t="s">
        <v>598</v>
      </c>
      <c r="H433" s="455" t="s">
        <v>1830</v>
      </c>
      <c r="I433" s="279">
        <f>(3102029)/1000*$I$5</f>
        <v>3102.029</v>
      </c>
      <c r="J433" s="279">
        <f>I433-(0)/1000*$I$5</f>
        <v>3102.029</v>
      </c>
      <c r="K433" s="479"/>
      <c r="L433" s="280"/>
      <c r="M433" s="296"/>
    </row>
    <row r="434" spans="1:14" s="281" customFormat="1" ht="72" x14ac:dyDescent="0.2">
      <c r="A434" s="412"/>
      <c r="B434" s="412" t="s">
        <v>2783</v>
      </c>
      <c r="C434" s="608"/>
      <c r="D434" s="584"/>
      <c r="E434" s="488" t="s">
        <v>2121</v>
      </c>
      <c r="F434" s="479" t="s">
        <v>2120</v>
      </c>
      <c r="G434" s="455" t="s">
        <v>1830</v>
      </c>
      <c r="H434" s="455" t="s">
        <v>1830</v>
      </c>
      <c r="I434" s="279">
        <f>(3102029)/1000*$I$5</f>
        <v>3102.029</v>
      </c>
      <c r="J434" s="279">
        <f>I434-(0)/1000*$I$5</f>
        <v>3102.029</v>
      </c>
      <c r="K434" s="479"/>
      <c r="L434" s="280"/>
      <c r="M434" s="296"/>
    </row>
    <row r="435" spans="1:14" ht="54.75" customHeight="1" x14ac:dyDescent="0.2">
      <c r="A435" s="75" t="s">
        <v>754</v>
      </c>
      <c r="B435" s="455" t="s">
        <v>2784</v>
      </c>
      <c r="C435" s="470" t="s">
        <v>783</v>
      </c>
      <c r="D435" s="464" t="s">
        <v>1323</v>
      </c>
      <c r="E435" s="176" t="s">
        <v>573</v>
      </c>
      <c r="F435" s="465" t="s">
        <v>1367</v>
      </c>
      <c r="G435" s="187" t="s">
        <v>49</v>
      </c>
      <c r="H435" s="187" t="s">
        <v>7</v>
      </c>
      <c r="I435" s="188">
        <f>(7958431)/1000*$I$5</f>
        <v>7958.4309999999996</v>
      </c>
      <c r="J435" s="188">
        <f>I435-(0)/1000*$I$5</f>
        <v>7958.4309999999996</v>
      </c>
      <c r="K435" s="472" t="s">
        <v>572</v>
      </c>
      <c r="L435" s="224"/>
    </row>
    <row r="436" spans="1:14" ht="38.25" customHeight="1" x14ac:dyDescent="0.2">
      <c r="A436" s="56" t="s">
        <v>1324</v>
      </c>
      <c r="B436" s="455" t="s">
        <v>2785</v>
      </c>
      <c r="C436" s="469" t="s">
        <v>1321</v>
      </c>
      <c r="D436" s="583" t="s">
        <v>1322</v>
      </c>
      <c r="E436" s="176"/>
      <c r="F436" s="465"/>
      <c r="G436" s="187"/>
      <c r="H436" s="187"/>
      <c r="I436" s="188"/>
      <c r="J436" s="188"/>
      <c r="K436" s="472"/>
      <c r="L436" s="224"/>
    </row>
    <row r="437" spans="1:14" ht="33.75" x14ac:dyDescent="0.2">
      <c r="A437" s="56" t="s">
        <v>755</v>
      </c>
      <c r="B437" s="455" t="s">
        <v>2786</v>
      </c>
      <c r="C437" s="470" t="s">
        <v>1328</v>
      </c>
      <c r="D437" s="583"/>
      <c r="E437" s="176" t="s">
        <v>575</v>
      </c>
      <c r="F437" s="465" t="s">
        <v>1327</v>
      </c>
      <c r="G437" s="187" t="s">
        <v>52</v>
      </c>
      <c r="H437" s="187" t="s">
        <v>63</v>
      </c>
      <c r="I437" s="188">
        <f>(201397276)/1000*$I$5</f>
        <v>201397.27600000001</v>
      </c>
      <c r="J437" s="188">
        <f>I437-(2563200+6523166+2974576+382255)/1000*$I$5</f>
        <v>188954.07900000003</v>
      </c>
      <c r="K437" s="472" t="s">
        <v>1327</v>
      </c>
      <c r="L437" s="224"/>
      <c r="M437" s="60" t="s">
        <v>575</v>
      </c>
    </row>
    <row r="438" spans="1:14" ht="36" x14ac:dyDescent="0.2">
      <c r="A438" s="56" t="s">
        <v>757</v>
      </c>
      <c r="B438" s="455" t="s">
        <v>2787</v>
      </c>
      <c r="C438" s="470" t="s">
        <v>1329</v>
      </c>
      <c r="D438" s="583"/>
      <c r="E438" s="176" t="s">
        <v>577</v>
      </c>
      <c r="F438" s="465" t="s">
        <v>1330</v>
      </c>
      <c r="G438" s="187" t="s">
        <v>488</v>
      </c>
      <c r="H438" s="187" t="s">
        <v>19</v>
      </c>
      <c r="I438" s="188">
        <f>(17803061)/1000*$I$5</f>
        <v>17803.061000000002</v>
      </c>
      <c r="J438" s="188">
        <f>I438-(0)/1000*$I$5</f>
        <v>17803.061000000002</v>
      </c>
      <c r="K438" s="472"/>
      <c r="L438" s="224"/>
      <c r="M438" s="60" t="s">
        <v>577</v>
      </c>
    </row>
    <row r="439" spans="1:14" ht="42" customHeight="1" x14ac:dyDescent="0.2">
      <c r="A439" s="56" t="s">
        <v>758</v>
      </c>
      <c r="B439" s="455" t="s">
        <v>2788</v>
      </c>
      <c r="C439" s="470" t="s">
        <v>599</v>
      </c>
      <c r="D439" s="583"/>
      <c r="E439" s="176" t="s">
        <v>603</v>
      </c>
      <c r="F439" s="465" t="s">
        <v>1331</v>
      </c>
      <c r="G439" s="187" t="s">
        <v>7</v>
      </c>
      <c r="H439" s="187" t="s">
        <v>11</v>
      </c>
      <c r="I439" s="188">
        <f>(43708282)/1000*$I$5</f>
        <v>43708.281999999999</v>
      </c>
      <c r="J439" s="188">
        <f>I439-(0)/1000*$I$5</f>
        <v>43708.281999999999</v>
      </c>
      <c r="K439" s="472" t="s">
        <v>716</v>
      </c>
      <c r="L439" s="224"/>
      <c r="M439" s="60" t="s">
        <v>603</v>
      </c>
      <c r="N439" s="60">
        <v>43708282</v>
      </c>
    </row>
    <row r="440" spans="1:14" ht="38.25" customHeight="1" x14ac:dyDescent="0.2">
      <c r="A440" s="56" t="s">
        <v>759</v>
      </c>
      <c r="B440" s="455" t="s">
        <v>2789</v>
      </c>
      <c r="C440" s="470" t="s">
        <v>1332</v>
      </c>
      <c r="D440" s="583"/>
      <c r="E440" s="176" t="s">
        <v>602</v>
      </c>
      <c r="F440" s="465" t="s">
        <v>1029</v>
      </c>
      <c r="G440" s="187" t="s">
        <v>86</v>
      </c>
      <c r="H440" s="187" t="s">
        <v>511</v>
      </c>
      <c r="I440" s="188">
        <f>(6500000)/1000*$I$5</f>
        <v>6500</v>
      </c>
      <c r="J440" s="188">
        <f>I440-(0)/1000*$I$5</f>
        <v>6500</v>
      </c>
      <c r="K440" s="472" t="s">
        <v>601</v>
      </c>
      <c r="L440" s="224"/>
      <c r="M440" s="60" t="s">
        <v>602</v>
      </c>
    </row>
    <row r="441" spans="1:14" ht="180" x14ac:dyDescent="0.2">
      <c r="A441" s="56" t="s">
        <v>760</v>
      </c>
      <c r="B441" s="455" t="s">
        <v>2790</v>
      </c>
      <c r="C441" s="470" t="s">
        <v>1333</v>
      </c>
      <c r="D441" s="583"/>
      <c r="E441" s="176" t="s">
        <v>605</v>
      </c>
      <c r="F441" s="465" t="s">
        <v>1030</v>
      </c>
      <c r="G441" s="187" t="s">
        <v>137</v>
      </c>
      <c r="H441" s="187" t="s">
        <v>15</v>
      </c>
      <c r="I441" s="188">
        <f>(35378118)/1000*$I$5</f>
        <v>35378.118000000002</v>
      </c>
      <c r="J441" s="188">
        <f>I441-(3938389+901930+3555281+3476986+654073)/1000*$I$5</f>
        <v>22851.459000000003</v>
      </c>
      <c r="K441" s="472" t="s">
        <v>717</v>
      </c>
      <c r="L441" s="224"/>
      <c r="M441" s="60" t="s">
        <v>605</v>
      </c>
    </row>
    <row r="442" spans="1:14" ht="108" x14ac:dyDescent="0.2">
      <c r="A442" s="56" t="s">
        <v>761</v>
      </c>
      <c r="B442" s="455" t="s">
        <v>2791</v>
      </c>
      <c r="C442" s="470" t="s">
        <v>1334</v>
      </c>
      <c r="D442" s="583"/>
      <c r="E442" s="176" t="s">
        <v>608</v>
      </c>
      <c r="F442" s="465" t="s">
        <v>1335</v>
      </c>
      <c r="G442" s="187" t="s">
        <v>137</v>
      </c>
      <c r="H442" s="187" t="s">
        <v>606</v>
      </c>
      <c r="I442" s="188">
        <f>(33543354)/1000*$I$5</f>
        <v>33543.353999999999</v>
      </c>
      <c r="J442" s="188">
        <f>I442-(4632327+4377223+2736212+684057)/1000*$I$5</f>
        <v>21113.535</v>
      </c>
      <c r="K442" s="472" t="s">
        <v>718</v>
      </c>
      <c r="L442" s="224"/>
      <c r="M442" s="60" t="s">
        <v>608</v>
      </c>
    </row>
    <row r="443" spans="1:14" ht="60.75" customHeight="1" x14ac:dyDescent="0.2">
      <c r="A443" s="56" t="s">
        <v>1325</v>
      </c>
      <c r="B443" s="455" t="s">
        <v>2792</v>
      </c>
      <c r="C443" s="470" t="s">
        <v>1334</v>
      </c>
      <c r="D443" s="583"/>
      <c r="E443" s="176" t="s">
        <v>609</v>
      </c>
      <c r="F443" s="465" t="s">
        <v>1336</v>
      </c>
      <c r="G443" s="187" t="s">
        <v>137</v>
      </c>
      <c r="H443" s="187" t="s">
        <v>610</v>
      </c>
      <c r="I443" s="188">
        <f>(18037985+118305)/1000*$I$5</f>
        <v>18156.29</v>
      </c>
      <c r="J443" s="188">
        <f>I443-(11424321+45196)/1000*$I$5</f>
        <v>6686.773000000001</v>
      </c>
      <c r="K443" s="472" t="s">
        <v>719</v>
      </c>
      <c r="L443" s="224"/>
      <c r="M443" s="60" t="s">
        <v>609</v>
      </c>
    </row>
    <row r="444" spans="1:14" ht="60.75" customHeight="1" x14ac:dyDescent="0.2">
      <c r="A444" s="56" t="s">
        <v>1326</v>
      </c>
      <c r="B444" s="455" t="s">
        <v>2793</v>
      </c>
      <c r="C444" s="470" t="s">
        <v>611</v>
      </c>
      <c r="D444" s="583"/>
      <c r="E444" s="176" t="s">
        <v>612</v>
      </c>
      <c r="F444" s="465" t="s">
        <v>720</v>
      </c>
      <c r="G444" s="187" t="s">
        <v>95</v>
      </c>
      <c r="H444" s="187" t="s">
        <v>613</v>
      </c>
      <c r="I444" s="188">
        <f>(5033317+399809)/1000*$I$5</f>
        <v>5433.1260000000002</v>
      </c>
      <c r="J444" s="188">
        <f>I444-(1550269+696868+404745)/1000*$I$5</f>
        <v>2781.2440000000001</v>
      </c>
      <c r="K444" s="472" t="s">
        <v>720</v>
      </c>
      <c r="L444" s="224">
        <v>6222518</v>
      </c>
    </row>
    <row r="445" spans="1:14" ht="60.75" customHeight="1" x14ac:dyDescent="0.2">
      <c r="A445" s="56" t="s">
        <v>1337</v>
      </c>
      <c r="B445" s="455" t="s">
        <v>2794</v>
      </c>
      <c r="C445" s="470" t="s">
        <v>1338</v>
      </c>
      <c r="D445" s="583"/>
      <c r="E445" s="176" t="s">
        <v>1339</v>
      </c>
      <c r="F445" s="465" t="s">
        <v>1340</v>
      </c>
      <c r="G445" s="187" t="s">
        <v>137</v>
      </c>
      <c r="H445" s="187" t="s">
        <v>610</v>
      </c>
      <c r="I445" s="188">
        <f>(15739574+113436)/1000*$I$5</f>
        <v>15853.01</v>
      </c>
      <c r="J445" s="188">
        <f>I445-((15739574+113436))/1000*$I$5</f>
        <v>0</v>
      </c>
      <c r="K445" s="269">
        <v>17436617</v>
      </c>
      <c r="L445" s="224"/>
    </row>
    <row r="446" spans="1:14" ht="60.75" customHeight="1" x14ac:dyDescent="0.2">
      <c r="A446" s="56" t="s">
        <v>1343</v>
      </c>
      <c r="B446" s="455" t="s">
        <v>2795</v>
      </c>
      <c r="C446" s="470" t="s">
        <v>1342</v>
      </c>
      <c r="D446" s="583"/>
      <c r="E446" s="176" t="s">
        <v>1341</v>
      </c>
      <c r="F446" s="465" t="s">
        <v>1344</v>
      </c>
      <c r="G446" s="187" t="s">
        <v>9</v>
      </c>
      <c r="H446" s="187" t="s">
        <v>20</v>
      </c>
      <c r="I446" s="188">
        <f>(13874438+1564379+417525)/1000*$I$5</f>
        <v>15856.342000000001</v>
      </c>
      <c r="J446" s="188">
        <f t="shared" ref="J446:J451" si="12">I446-(0)/1000*$I$5</f>
        <v>15856.342000000001</v>
      </c>
      <c r="K446" s="472">
        <v>16450686</v>
      </c>
      <c r="L446" s="224"/>
    </row>
    <row r="447" spans="1:14" ht="60.75" customHeight="1" x14ac:dyDescent="0.2">
      <c r="A447" s="56" t="s">
        <v>1347</v>
      </c>
      <c r="B447" s="455" t="s">
        <v>2796</v>
      </c>
      <c r="C447" s="470" t="s">
        <v>1348</v>
      </c>
      <c r="D447" s="583"/>
      <c r="E447" s="176" t="s">
        <v>1352</v>
      </c>
      <c r="F447" s="465" t="s">
        <v>1349</v>
      </c>
      <c r="G447" s="187" t="s">
        <v>132</v>
      </c>
      <c r="H447" s="187" t="s">
        <v>16</v>
      </c>
      <c r="I447" s="188">
        <f>(1609757)/1000*$I$5</f>
        <v>1609.7570000000001</v>
      </c>
      <c r="J447" s="188">
        <f t="shared" si="12"/>
        <v>1609.7570000000001</v>
      </c>
      <c r="K447" s="472">
        <v>16450686</v>
      </c>
      <c r="L447" s="224"/>
    </row>
    <row r="448" spans="1:14" ht="120" x14ac:dyDescent="0.2">
      <c r="A448" s="56" t="s">
        <v>1356</v>
      </c>
      <c r="B448" s="455" t="s">
        <v>2797</v>
      </c>
      <c r="C448" s="470" t="s">
        <v>1334</v>
      </c>
      <c r="D448" s="583"/>
      <c r="E448" s="176" t="s">
        <v>1989</v>
      </c>
      <c r="F448" s="465" t="s">
        <v>1355</v>
      </c>
      <c r="G448" s="187" t="s">
        <v>18</v>
      </c>
      <c r="H448" s="187" t="s">
        <v>22</v>
      </c>
      <c r="I448" s="188">
        <f>(8690819)/1000*$I$5</f>
        <v>8690.8189999999995</v>
      </c>
      <c r="J448" s="188">
        <f t="shared" si="12"/>
        <v>8690.8189999999995</v>
      </c>
      <c r="K448" s="209"/>
      <c r="L448" s="224"/>
    </row>
    <row r="449" spans="1:13" ht="60.75" customHeight="1" x14ac:dyDescent="0.2">
      <c r="A449" s="56" t="s">
        <v>1357</v>
      </c>
      <c r="B449" s="455" t="s">
        <v>2798</v>
      </c>
      <c r="C449" s="470" t="s">
        <v>1360</v>
      </c>
      <c r="D449" s="583"/>
      <c r="E449" s="176" t="s">
        <v>1358</v>
      </c>
      <c r="F449" s="465" t="s">
        <v>1361</v>
      </c>
      <c r="G449" s="187" t="s">
        <v>22</v>
      </c>
      <c r="H449" s="187" t="s">
        <v>531</v>
      </c>
      <c r="I449" s="188">
        <f>(27309168+631762)/1000*$I$5</f>
        <v>27940.93</v>
      </c>
      <c r="J449" s="188">
        <f t="shared" si="12"/>
        <v>27940.93</v>
      </c>
      <c r="K449" s="209"/>
      <c r="L449" s="224"/>
    </row>
    <row r="450" spans="1:13" ht="56.25" customHeight="1" x14ac:dyDescent="0.2">
      <c r="A450" s="75" t="s">
        <v>1366</v>
      </c>
      <c r="B450" s="455" t="s">
        <v>2799</v>
      </c>
      <c r="C450" s="470" t="s">
        <v>1368</v>
      </c>
      <c r="D450" s="584"/>
      <c r="E450" s="176" t="s">
        <v>1363</v>
      </c>
      <c r="F450" s="465" t="s">
        <v>1369</v>
      </c>
      <c r="G450" s="187" t="s">
        <v>104</v>
      </c>
      <c r="H450" s="187" t="s">
        <v>531</v>
      </c>
      <c r="I450" s="188">
        <f>(15387432+135632)/1000*$I$5</f>
        <v>15523.064</v>
      </c>
      <c r="J450" s="188">
        <f t="shared" si="12"/>
        <v>15523.064</v>
      </c>
      <c r="L450" s="224"/>
      <c r="M450" s="60" t="s">
        <v>612</v>
      </c>
    </row>
    <row r="451" spans="1:13" s="281" customFormat="1" ht="56.25" customHeight="1" x14ac:dyDescent="0.2">
      <c r="A451" s="455"/>
      <c r="B451" s="455" t="s">
        <v>2800</v>
      </c>
      <c r="C451" s="483" t="s">
        <v>1991</v>
      </c>
      <c r="D451" s="479"/>
      <c r="E451" s="488" t="s">
        <v>1990</v>
      </c>
      <c r="F451" s="479" t="s">
        <v>1992</v>
      </c>
      <c r="G451" s="455" t="s">
        <v>17</v>
      </c>
      <c r="H451" s="455" t="s">
        <v>19</v>
      </c>
      <c r="I451" s="279">
        <f>(663726)/1000*$I$5</f>
        <v>663.726</v>
      </c>
      <c r="J451" s="279">
        <f t="shared" si="12"/>
        <v>663.726</v>
      </c>
      <c r="L451" s="280"/>
    </row>
    <row r="452" spans="1:13" s="281" customFormat="1" ht="56.25" customHeight="1" x14ac:dyDescent="0.2">
      <c r="A452" s="455"/>
      <c r="B452" s="455" t="s">
        <v>2801</v>
      </c>
      <c r="C452" s="483" t="s">
        <v>1994</v>
      </c>
      <c r="D452" s="479"/>
      <c r="E452" s="488" t="s">
        <v>1995</v>
      </c>
      <c r="F452" s="479" t="s">
        <v>2962</v>
      </c>
      <c r="G452" s="455" t="s">
        <v>1591</v>
      </c>
      <c r="H452" s="455" t="s">
        <v>1614</v>
      </c>
      <c r="I452" s="440">
        <f>(7952853)/1000*$I$5</f>
        <v>7952.8530000000001</v>
      </c>
      <c r="J452" s="279">
        <f>I452-(150189)/1000*$I$5</f>
        <v>7802.6639999999998</v>
      </c>
      <c r="L452" s="280"/>
    </row>
    <row r="453" spans="1:13" s="281" customFormat="1" ht="108" x14ac:dyDescent="0.2">
      <c r="A453" s="455"/>
      <c r="B453" s="455" t="s">
        <v>2802</v>
      </c>
      <c r="C453" s="483" t="s">
        <v>1997</v>
      </c>
      <c r="D453" s="479"/>
      <c r="E453" s="488" t="s">
        <v>1996</v>
      </c>
      <c r="F453" s="479" t="s">
        <v>1993</v>
      </c>
      <c r="G453" s="455" t="s">
        <v>63</v>
      </c>
      <c r="H453" s="447" t="s">
        <v>3105</v>
      </c>
      <c r="I453" s="440">
        <f>(89165550)/1000*$I$5</f>
        <v>89165.55</v>
      </c>
      <c r="J453" s="440">
        <f>I453-(1768736+1701953+1221423+359593+2296938+3510188)/1000*$I$5</f>
        <v>78306.718999999997</v>
      </c>
      <c r="L453" s="280"/>
    </row>
    <row r="454" spans="1:13" s="281" customFormat="1" ht="120" x14ac:dyDescent="0.2">
      <c r="A454" s="455"/>
      <c r="B454" s="455" t="s">
        <v>2803</v>
      </c>
      <c r="C454" s="483" t="s">
        <v>2000</v>
      </c>
      <c r="D454" s="479"/>
      <c r="E454" s="488" t="s">
        <v>1998</v>
      </c>
      <c r="F454" s="479" t="s">
        <v>2002</v>
      </c>
      <c r="G454" s="455" t="s">
        <v>1579</v>
      </c>
      <c r="H454" s="284" t="s">
        <v>3106</v>
      </c>
      <c r="I454" s="440">
        <f>(18346528.84)/1000*$I$5</f>
        <v>18346.528839999999</v>
      </c>
      <c r="J454" s="279">
        <f>I454-(4077298.78+3772380)/1000*$I$5</f>
        <v>10496.850060000001</v>
      </c>
      <c r="K454" s="326" t="s">
        <v>2001</v>
      </c>
      <c r="L454" s="280"/>
      <c r="M454" s="327">
        <f>(40772987.78+1372208)</f>
        <v>42145195.780000001</v>
      </c>
    </row>
    <row r="455" spans="1:13" s="281" customFormat="1" ht="144" x14ac:dyDescent="0.2">
      <c r="A455" s="455"/>
      <c r="B455" s="455" t="s">
        <v>2804</v>
      </c>
      <c r="C455" s="483" t="s">
        <v>2963</v>
      </c>
      <c r="D455" s="479" t="s">
        <v>2505</v>
      </c>
      <c r="E455" s="488" t="s">
        <v>2506</v>
      </c>
      <c r="F455" s="479" t="s">
        <v>2504</v>
      </c>
      <c r="G455" s="455" t="s">
        <v>1875</v>
      </c>
      <c r="H455" s="455" t="s">
        <v>1527</v>
      </c>
      <c r="I455" s="279">
        <f>(1231207)/1000*$I$5</f>
        <v>1231.2070000000001</v>
      </c>
      <c r="J455" s="279">
        <f t="shared" ref="J455:J461" si="13">I455-(0)/1000*$I$5</f>
        <v>1231.2070000000001</v>
      </c>
      <c r="K455" s="479" t="s">
        <v>2504</v>
      </c>
      <c r="L455" s="280"/>
    </row>
    <row r="456" spans="1:13" ht="27" customHeight="1" x14ac:dyDescent="0.2">
      <c r="A456" s="250" t="s">
        <v>762</v>
      </c>
      <c r="B456" s="453" t="s">
        <v>2805</v>
      </c>
      <c r="C456" s="469" t="s">
        <v>787</v>
      </c>
      <c r="D456" s="582" t="s">
        <v>1370</v>
      </c>
      <c r="E456" s="182"/>
      <c r="F456" s="464"/>
      <c r="G456" s="467"/>
      <c r="H456" s="467"/>
      <c r="I456" s="196">
        <f>(0)/1000*$I$5</f>
        <v>0</v>
      </c>
      <c r="J456" s="196">
        <f t="shared" si="13"/>
        <v>0</v>
      </c>
      <c r="K456" s="471"/>
      <c r="L456" s="231"/>
    </row>
    <row r="457" spans="1:13" ht="60" x14ac:dyDescent="0.2">
      <c r="A457" s="56" t="s">
        <v>1371</v>
      </c>
      <c r="B457" s="455" t="s">
        <v>2806</v>
      </c>
      <c r="C457" s="470" t="s">
        <v>788</v>
      </c>
      <c r="D457" s="583"/>
      <c r="E457" s="176" t="s">
        <v>452</v>
      </c>
      <c r="F457" s="465" t="s">
        <v>1375</v>
      </c>
      <c r="G457" s="187" t="s">
        <v>176</v>
      </c>
      <c r="H457" s="187" t="s">
        <v>48</v>
      </c>
      <c r="I457" s="188">
        <f>(6900000+4477636)/1000*$I$5</f>
        <v>11377.636</v>
      </c>
      <c r="J457" s="188">
        <f t="shared" si="13"/>
        <v>11377.636</v>
      </c>
      <c r="K457" s="472" t="s">
        <v>451</v>
      </c>
      <c r="L457" s="59"/>
      <c r="M457" s="248" t="s">
        <v>452</v>
      </c>
    </row>
    <row r="458" spans="1:13" ht="193.5" customHeight="1" x14ac:dyDescent="0.2">
      <c r="A458" s="56" t="s">
        <v>1372</v>
      </c>
      <c r="B458" s="455" t="s">
        <v>2807</v>
      </c>
      <c r="C458" s="470" t="s">
        <v>453</v>
      </c>
      <c r="D458" s="583"/>
      <c r="E458" s="176" t="s">
        <v>456</v>
      </c>
      <c r="F458" s="465" t="s">
        <v>1377</v>
      </c>
      <c r="G458" s="187" t="s">
        <v>176</v>
      </c>
      <c r="H458" s="187" t="s">
        <v>181</v>
      </c>
      <c r="I458" s="188">
        <f>(11864407)/1000*$I$5</f>
        <v>11864.406999999999</v>
      </c>
      <c r="J458" s="188">
        <f t="shared" si="13"/>
        <v>11864.406999999999</v>
      </c>
      <c r="K458" s="472" t="s">
        <v>538</v>
      </c>
      <c r="L458" s="59"/>
      <c r="M458" s="60" t="s">
        <v>456</v>
      </c>
    </row>
    <row r="459" spans="1:13" ht="63.75" customHeight="1" x14ac:dyDescent="0.2">
      <c r="A459" s="56" t="s">
        <v>1373</v>
      </c>
      <c r="B459" s="455" t="s">
        <v>2808</v>
      </c>
      <c r="C459" s="470" t="s">
        <v>457</v>
      </c>
      <c r="D459" s="583"/>
      <c r="E459" s="176" t="s">
        <v>460</v>
      </c>
      <c r="F459" s="465" t="s">
        <v>1376</v>
      </c>
      <c r="G459" s="187" t="s">
        <v>295</v>
      </c>
      <c r="H459" s="189" t="s">
        <v>48</v>
      </c>
      <c r="I459" s="188">
        <f>(2633979.11)/1000*$I$5</f>
        <v>2633.9791099999998</v>
      </c>
      <c r="J459" s="188">
        <f t="shared" si="13"/>
        <v>2633.9791099999998</v>
      </c>
      <c r="K459" s="472" t="s">
        <v>466</v>
      </c>
      <c r="L459" s="59"/>
      <c r="M459" s="60" t="s">
        <v>460</v>
      </c>
    </row>
    <row r="460" spans="1:13" ht="60" x14ac:dyDescent="0.2">
      <c r="A460" s="56" t="s">
        <v>1374</v>
      </c>
      <c r="B460" s="455" t="s">
        <v>2809</v>
      </c>
      <c r="C460" s="470" t="s">
        <v>1378</v>
      </c>
      <c r="D460" s="583"/>
      <c r="E460" s="176" t="s">
        <v>459</v>
      </c>
      <c r="F460" s="465" t="s">
        <v>1379</v>
      </c>
      <c r="G460" s="187" t="s">
        <v>410</v>
      </c>
      <c r="H460" s="189" t="s">
        <v>13</v>
      </c>
      <c r="I460" s="188">
        <f>(2058211.12)/1000*$I$5</f>
        <v>2058.2111199999999</v>
      </c>
      <c r="J460" s="188">
        <f t="shared" si="13"/>
        <v>2058.2111199999999</v>
      </c>
      <c r="K460" s="472" t="s">
        <v>539</v>
      </c>
      <c r="L460" s="59"/>
      <c r="M460" s="60" t="s">
        <v>459</v>
      </c>
    </row>
    <row r="461" spans="1:13" ht="108" x14ac:dyDescent="0.2">
      <c r="A461" s="56" t="s">
        <v>1380</v>
      </c>
      <c r="B461" s="455" t="s">
        <v>2810</v>
      </c>
      <c r="C461" s="470" t="s">
        <v>1381</v>
      </c>
      <c r="D461" s="583"/>
      <c r="E461" s="176" t="s">
        <v>465</v>
      </c>
      <c r="F461" s="465" t="s">
        <v>1382</v>
      </c>
      <c r="G461" s="187" t="s">
        <v>126</v>
      </c>
      <c r="H461" s="189" t="s">
        <v>410</v>
      </c>
      <c r="I461" s="188">
        <f>(2038983)/1000*$I$5</f>
        <v>2038.9829999999999</v>
      </c>
      <c r="J461" s="188">
        <f t="shared" si="13"/>
        <v>2038.9829999999999</v>
      </c>
      <c r="K461" s="472" t="s">
        <v>462</v>
      </c>
      <c r="L461" s="59"/>
      <c r="M461" s="60" t="s">
        <v>465</v>
      </c>
    </row>
    <row r="462" spans="1:13" ht="36" x14ac:dyDescent="0.2">
      <c r="A462" s="56" t="s">
        <v>1384</v>
      </c>
      <c r="B462" s="455" t="s">
        <v>2811</v>
      </c>
      <c r="C462" s="470" t="s">
        <v>1383</v>
      </c>
      <c r="D462" s="583"/>
      <c r="E462" s="176" t="s">
        <v>468</v>
      </c>
      <c r="F462" s="465" t="s">
        <v>464</v>
      </c>
      <c r="G462" s="187" t="s">
        <v>8</v>
      </c>
      <c r="H462" s="189" t="s">
        <v>14</v>
      </c>
      <c r="I462" s="188">
        <f>(130768063)/1000*$I$5</f>
        <v>130768.06299999999</v>
      </c>
      <c r="J462" s="188">
        <f>I462-(25018370+1469829+12347573)/1000*$I$5</f>
        <v>91932.290999999997</v>
      </c>
      <c r="K462" s="472" t="s">
        <v>467</v>
      </c>
      <c r="L462" s="59"/>
      <c r="M462" s="60" t="s">
        <v>468</v>
      </c>
    </row>
    <row r="463" spans="1:13" ht="108" x14ac:dyDescent="0.2">
      <c r="A463" s="56" t="s">
        <v>1386</v>
      </c>
      <c r="B463" s="455" t="s">
        <v>2812</v>
      </c>
      <c r="C463" s="470" t="s">
        <v>469</v>
      </c>
      <c r="D463" s="583"/>
      <c r="E463" s="176" t="s">
        <v>471</v>
      </c>
      <c r="F463" s="465" t="s">
        <v>1385</v>
      </c>
      <c r="G463" s="187" t="s">
        <v>179</v>
      </c>
      <c r="H463" s="187" t="s">
        <v>7</v>
      </c>
      <c r="I463" s="188">
        <f>(5544496)/1000*$I$5</f>
        <v>5544.4960000000001</v>
      </c>
      <c r="J463" s="188">
        <f>I463-(0)/1000*$I$5</f>
        <v>5544.4960000000001</v>
      </c>
      <c r="K463" s="472" t="s">
        <v>470</v>
      </c>
      <c r="L463" s="59"/>
      <c r="M463" s="60" t="s">
        <v>471</v>
      </c>
    </row>
    <row r="464" spans="1:13" ht="84" x14ac:dyDescent="0.2">
      <c r="A464" s="56" t="s">
        <v>1387</v>
      </c>
      <c r="B464" s="455" t="s">
        <v>2813</v>
      </c>
      <c r="C464" s="470" t="s">
        <v>1390</v>
      </c>
      <c r="D464" s="583"/>
      <c r="E464" s="176" t="s">
        <v>473</v>
      </c>
      <c r="F464" s="465" t="s">
        <v>1391</v>
      </c>
      <c r="G464" s="187" t="s">
        <v>78</v>
      </c>
      <c r="H464" s="187" t="s">
        <v>78</v>
      </c>
      <c r="I464" s="188">
        <f>(829818)/1000*$I$5</f>
        <v>829.81799999999998</v>
      </c>
      <c r="J464" s="188">
        <f>I464-(0)/1000*$I$5</f>
        <v>829.81799999999998</v>
      </c>
      <c r="K464" s="472" t="s">
        <v>475</v>
      </c>
      <c r="L464" s="59"/>
      <c r="M464" s="60" t="s">
        <v>473</v>
      </c>
    </row>
    <row r="465" spans="1:13" ht="100.5" customHeight="1" x14ac:dyDescent="0.2">
      <c r="A465" s="56" t="s">
        <v>1388</v>
      </c>
      <c r="B465" s="455" t="s">
        <v>2814</v>
      </c>
      <c r="C465" s="470" t="s">
        <v>474</v>
      </c>
      <c r="D465" s="583"/>
      <c r="E465" s="176" t="s">
        <v>477</v>
      </c>
      <c r="F465" s="465" t="s">
        <v>1436</v>
      </c>
      <c r="G465" s="187" t="s">
        <v>124</v>
      </c>
      <c r="H465" s="187" t="s">
        <v>14</v>
      </c>
      <c r="I465" s="188">
        <f>(100377169)/1000*$I$5</f>
        <v>100377.16899999999</v>
      </c>
      <c r="J465" s="188">
        <f>I465-(25100604.84)/1000*$I$5</f>
        <v>75276.564159999994</v>
      </c>
      <c r="K465" s="472" t="s">
        <v>476</v>
      </c>
      <c r="L465" s="59"/>
      <c r="M465" s="60" t="s">
        <v>477</v>
      </c>
    </row>
    <row r="466" spans="1:13" ht="96" x14ac:dyDescent="0.2">
      <c r="A466" s="56" t="s">
        <v>1389</v>
      </c>
      <c r="B466" s="455" t="s">
        <v>2815</v>
      </c>
      <c r="C466" s="470" t="s">
        <v>1393</v>
      </c>
      <c r="D466" s="583"/>
      <c r="E466" s="176" t="s">
        <v>480</v>
      </c>
      <c r="F466" s="465" t="s">
        <v>1392</v>
      </c>
      <c r="G466" s="187" t="s">
        <v>4</v>
      </c>
      <c r="H466" s="187" t="s">
        <v>24</v>
      </c>
      <c r="I466" s="188">
        <f>(22587631)/1000*$I$5</f>
        <v>22587.631000000001</v>
      </c>
      <c r="J466" s="188">
        <f>I466-(0)/1000*$I$5</f>
        <v>22587.631000000001</v>
      </c>
      <c r="K466" s="472" t="s">
        <v>479</v>
      </c>
      <c r="L466" s="59"/>
      <c r="M466" s="60" t="s">
        <v>480</v>
      </c>
    </row>
    <row r="467" spans="1:13" ht="36" x14ac:dyDescent="0.2">
      <c r="A467" s="56" t="s">
        <v>1395</v>
      </c>
      <c r="B467" s="455" t="s">
        <v>2816</v>
      </c>
      <c r="C467" s="470" t="s">
        <v>481</v>
      </c>
      <c r="D467" s="583"/>
      <c r="E467" s="176" t="s">
        <v>483</v>
      </c>
      <c r="F467" s="465" t="s">
        <v>1394</v>
      </c>
      <c r="G467" s="187" t="s">
        <v>427</v>
      </c>
      <c r="H467" s="187" t="s">
        <v>84</v>
      </c>
      <c r="I467" s="188">
        <f>(24378308.18)/1000*$I$5</f>
        <v>24378.30818</v>
      </c>
      <c r="J467" s="188">
        <f>I467-(3669923.61)/1000*$I$5</f>
        <v>20708.384570000002</v>
      </c>
      <c r="K467" s="472" t="s">
        <v>482</v>
      </c>
      <c r="L467" s="59"/>
      <c r="M467" s="60" t="s">
        <v>483</v>
      </c>
    </row>
    <row r="468" spans="1:13" ht="84" x14ac:dyDescent="0.2">
      <c r="A468" s="56" t="s">
        <v>1396</v>
      </c>
      <c r="B468" s="455" t="s">
        <v>2817</v>
      </c>
      <c r="C468" s="470" t="s">
        <v>484</v>
      </c>
      <c r="D468" s="583"/>
      <c r="E468" s="176" t="s">
        <v>486</v>
      </c>
      <c r="F468" s="465" t="s">
        <v>1437</v>
      </c>
      <c r="G468" s="187" t="s">
        <v>427</v>
      </c>
      <c r="H468" s="189" t="s">
        <v>230</v>
      </c>
      <c r="I468" s="188">
        <f>(18119912)/1000*$I$5</f>
        <v>18119.912</v>
      </c>
      <c r="J468" s="188">
        <f>I468-(0)/1000*$I$5</f>
        <v>18119.912</v>
      </c>
      <c r="K468" s="472" t="s">
        <v>487</v>
      </c>
      <c r="L468" s="59"/>
      <c r="M468" s="60" t="s">
        <v>486</v>
      </c>
    </row>
    <row r="469" spans="1:13" ht="72" x14ac:dyDescent="0.2">
      <c r="A469" s="56" t="s">
        <v>1397</v>
      </c>
      <c r="B469" s="455" t="s">
        <v>2818</v>
      </c>
      <c r="C469" s="470" t="s">
        <v>484</v>
      </c>
      <c r="D469" s="583"/>
      <c r="E469" s="176" t="s">
        <v>490</v>
      </c>
      <c r="F469" s="465" t="s">
        <v>1403</v>
      </c>
      <c r="G469" s="187" t="s">
        <v>427</v>
      </c>
      <c r="H469" s="187" t="s">
        <v>488</v>
      </c>
      <c r="I469" s="188">
        <f>(50693441.39)/1000*$I$5</f>
        <v>50693.44139</v>
      </c>
      <c r="J469" s="188">
        <f>I469-(7118161)/1000*$I$5</f>
        <v>43575.28039</v>
      </c>
      <c r="K469" s="472" t="s">
        <v>489</v>
      </c>
      <c r="L469" s="59"/>
      <c r="M469" s="60" t="s">
        <v>490</v>
      </c>
    </row>
    <row r="470" spans="1:13" ht="108" x14ac:dyDescent="0.2">
      <c r="A470" s="56" t="s">
        <v>1398</v>
      </c>
      <c r="B470" s="455" t="s">
        <v>2819</v>
      </c>
      <c r="C470" s="470" t="s">
        <v>1404</v>
      </c>
      <c r="D470" s="583"/>
      <c r="E470" s="176" t="s">
        <v>493</v>
      </c>
      <c r="F470" s="465" t="s">
        <v>1405</v>
      </c>
      <c r="G470" s="187" t="s">
        <v>230</v>
      </c>
      <c r="H470" s="189" t="s">
        <v>7</v>
      </c>
      <c r="I470" s="188">
        <f>(1289255)/1000*$I$5</f>
        <v>1289.2550000000001</v>
      </c>
      <c r="J470" s="188">
        <f>I470-(0)/1000*$I$5</f>
        <v>1289.2550000000001</v>
      </c>
      <c r="K470" s="472" t="s">
        <v>492</v>
      </c>
      <c r="L470" s="59"/>
      <c r="M470" s="60" t="s">
        <v>493</v>
      </c>
    </row>
    <row r="471" spans="1:13" ht="48" x14ac:dyDescent="0.2">
      <c r="A471" s="56" t="s">
        <v>1399</v>
      </c>
      <c r="B471" s="455" t="s">
        <v>2820</v>
      </c>
      <c r="C471" s="470" t="s">
        <v>1406</v>
      </c>
      <c r="D471" s="583"/>
      <c r="E471" s="176" t="s">
        <v>494</v>
      </c>
      <c r="F471" s="465" t="s">
        <v>1407</v>
      </c>
      <c r="G471" s="187" t="s">
        <v>230</v>
      </c>
      <c r="H471" s="189" t="s">
        <v>7</v>
      </c>
      <c r="I471" s="188">
        <f>(998697)/1000*$I$5</f>
        <v>998.697</v>
      </c>
      <c r="J471" s="188">
        <f>I471-(0)/1000*$I$5</f>
        <v>998.697</v>
      </c>
      <c r="K471" s="472" t="s">
        <v>540</v>
      </c>
      <c r="L471" s="59"/>
      <c r="M471" s="60" t="s">
        <v>494</v>
      </c>
    </row>
    <row r="472" spans="1:13" ht="84" x14ac:dyDescent="0.2">
      <c r="A472" s="56" t="s">
        <v>1400</v>
      </c>
      <c r="B472" s="455" t="s">
        <v>2821</v>
      </c>
      <c r="C472" s="470" t="s">
        <v>497</v>
      </c>
      <c r="D472" s="583"/>
      <c r="E472" s="176" t="s">
        <v>496</v>
      </c>
      <c r="F472" s="465" t="s">
        <v>1408</v>
      </c>
      <c r="G472" s="187" t="s">
        <v>499</v>
      </c>
      <c r="H472" s="189" t="s">
        <v>500</v>
      </c>
      <c r="I472" s="188">
        <f>(4308132)/1000*$I$5</f>
        <v>4308.1319999999996</v>
      </c>
      <c r="J472" s="188">
        <f>I472-(1306408)/1000*$I$5</f>
        <v>3001.7239999999997</v>
      </c>
      <c r="K472" s="472" t="s">
        <v>498</v>
      </c>
      <c r="L472" s="59"/>
      <c r="M472" s="60" t="s">
        <v>496</v>
      </c>
    </row>
    <row r="473" spans="1:13" ht="84" x14ac:dyDescent="0.2">
      <c r="A473" s="56" t="s">
        <v>1401</v>
      </c>
      <c r="B473" s="455" t="s">
        <v>2822</v>
      </c>
      <c r="C473" s="470" t="s">
        <v>1409</v>
      </c>
      <c r="D473" s="583"/>
      <c r="E473" s="176" t="s">
        <v>503</v>
      </c>
      <c r="F473" s="465" t="s">
        <v>1410</v>
      </c>
      <c r="G473" s="187" t="s">
        <v>132</v>
      </c>
      <c r="H473" s="189" t="s">
        <v>9</v>
      </c>
      <c r="I473" s="188">
        <f>(12401096)/1000*$I$5</f>
        <v>12401.096</v>
      </c>
      <c r="J473" s="188">
        <f t="shared" ref="J473:J566" si="14">I473-(0)/1000*$I$5</f>
        <v>12401.096</v>
      </c>
      <c r="K473" s="472" t="s">
        <v>502</v>
      </c>
      <c r="L473" s="59"/>
      <c r="M473" s="60" t="s">
        <v>503</v>
      </c>
    </row>
    <row r="474" spans="1:13" ht="72" x14ac:dyDescent="0.2">
      <c r="A474" s="56" t="s">
        <v>1402</v>
      </c>
      <c r="B474" s="455" t="s">
        <v>2823</v>
      </c>
      <c r="C474" s="470" t="s">
        <v>509</v>
      </c>
      <c r="D474" s="583"/>
      <c r="E474" s="176" t="s">
        <v>504</v>
      </c>
      <c r="F474" s="465" t="s">
        <v>1416</v>
      </c>
      <c r="G474" s="187" t="s">
        <v>7</v>
      </c>
      <c r="H474" s="187" t="s">
        <v>93</v>
      </c>
      <c r="I474" s="188">
        <f>(1022700)/1000*$I$5</f>
        <v>1022.7</v>
      </c>
      <c r="J474" s="188">
        <f t="shared" si="14"/>
        <v>1022.7</v>
      </c>
      <c r="K474" s="472" t="s">
        <v>505</v>
      </c>
      <c r="L474" s="59"/>
      <c r="M474" s="60" t="s">
        <v>504</v>
      </c>
    </row>
    <row r="475" spans="1:13" ht="84" x14ac:dyDescent="0.2">
      <c r="A475" s="56" t="s">
        <v>1411</v>
      </c>
      <c r="B475" s="455" t="s">
        <v>2824</v>
      </c>
      <c r="C475" s="470" t="s">
        <v>509</v>
      </c>
      <c r="D475" s="583"/>
      <c r="E475" s="176" t="s">
        <v>506</v>
      </c>
      <c r="F475" s="465" t="s">
        <v>1417</v>
      </c>
      <c r="G475" s="187" t="s">
        <v>508</v>
      </c>
      <c r="H475" s="187" t="s">
        <v>86</v>
      </c>
      <c r="I475" s="188">
        <f>(8552344)/1000*$I$5</f>
        <v>8552.3439999999991</v>
      </c>
      <c r="J475" s="188">
        <f t="shared" si="14"/>
        <v>8552.3439999999991</v>
      </c>
      <c r="K475" s="472" t="s">
        <v>507</v>
      </c>
      <c r="L475" s="59"/>
      <c r="M475" s="60" t="s">
        <v>506</v>
      </c>
    </row>
    <row r="476" spans="1:13" ht="96" x14ac:dyDescent="0.2">
      <c r="A476" s="56" t="s">
        <v>1412</v>
      </c>
      <c r="B476" s="455" t="s">
        <v>2825</v>
      </c>
      <c r="C476" s="470" t="s">
        <v>1418</v>
      </c>
      <c r="D476" s="583"/>
      <c r="E476" s="176" t="s">
        <v>510</v>
      </c>
      <c r="F476" s="465" t="s">
        <v>1419</v>
      </c>
      <c r="G476" s="187" t="s">
        <v>86</v>
      </c>
      <c r="H476" s="187" t="s">
        <v>511</v>
      </c>
      <c r="I476" s="188">
        <f>(1554362)/1000*$I$5</f>
        <v>1554.3620000000001</v>
      </c>
      <c r="J476" s="188">
        <f t="shared" si="14"/>
        <v>1554.3620000000001</v>
      </c>
      <c r="K476" s="472" t="s">
        <v>512</v>
      </c>
      <c r="L476" s="59"/>
      <c r="M476" s="60" t="s">
        <v>510</v>
      </c>
    </row>
    <row r="477" spans="1:13" ht="48" x14ac:dyDescent="0.2">
      <c r="A477" s="56" t="s">
        <v>1413</v>
      </c>
      <c r="B477" s="455" t="s">
        <v>2826</v>
      </c>
      <c r="C477" s="470" t="s">
        <v>1420</v>
      </c>
      <c r="D477" s="583"/>
      <c r="E477" s="176" t="s">
        <v>513</v>
      </c>
      <c r="F477" s="465" t="s">
        <v>515</v>
      </c>
      <c r="G477" s="187" t="s">
        <v>511</v>
      </c>
      <c r="H477" s="187" t="s">
        <v>95</v>
      </c>
      <c r="I477" s="188">
        <f>(5110000)/1000*$I$5</f>
        <v>5110</v>
      </c>
      <c r="J477" s="188">
        <f t="shared" si="14"/>
        <v>5110</v>
      </c>
      <c r="K477" s="472" t="s">
        <v>515</v>
      </c>
      <c r="L477" s="59"/>
      <c r="M477" s="60" t="s">
        <v>513</v>
      </c>
    </row>
    <row r="478" spans="1:13" ht="72" x14ac:dyDescent="0.2">
      <c r="A478" s="56" t="s">
        <v>1414</v>
      </c>
      <c r="B478" s="455" t="s">
        <v>2827</v>
      </c>
      <c r="C478" s="470" t="s">
        <v>1421</v>
      </c>
      <c r="D478" s="583"/>
      <c r="E478" s="176" t="s">
        <v>516</v>
      </c>
      <c r="F478" s="465" t="s">
        <v>1438</v>
      </c>
      <c r="G478" s="187" t="s">
        <v>58</v>
      </c>
      <c r="H478" s="187" t="s">
        <v>58</v>
      </c>
      <c r="I478" s="188">
        <f>(3205702)/1000*$I$5</f>
        <v>3205.7020000000002</v>
      </c>
      <c r="J478" s="188">
        <f t="shared" si="14"/>
        <v>3205.7020000000002</v>
      </c>
      <c r="K478" s="472" t="s">
        <v>482</v>
      </c>
      <c r="L478" s="59"/>
      <c r="M478" s="60" t="s">
        <v>516</v>
      </c>
    </row>
    <row r="479" spans="1:13" ht="84" x14ac:dyDescent="0.2">
      <c r="A479" s="56" t="s">
        <v>1415</v>
      </c>
      <c r="B479" s="455" t="s">
        <v>2828</v>
      </c>
      <c r="C479" s="470" t="s">
        <v>542</v>
      </c>
      <c r="D479" s="583"/>
      <c r="E479" s="176" t="s">
        <v>522</v>
      </c>
      <c r="F479" s="465" t="s">
        <v>1439</v>
      </c>
      <c r="G479" s="187" t="s">
        <v>91</v>
      </c>
      <c r="H479" s="189" t="s">
        <v>139</v>
      </c>
      <c r="I479" s="188">
        <f>(9056742)/1000*$I$5</f>
        <v>9056.7420000000002</v>
      </c>
      <c r="J479" s="188">
        <f t="shared" si="14"/>
        <v>9056.7420000000002</v>
      </c>
      <c r="K479" s="472" t="s">
        <v>521</v>
      </c>
      <c r="L479" s="59"/>
      <c r="M479" s="60" t="s">
        <v>518</v>
      </c>
    </row>
    <row r="480" spans="1:13" ht="156" x14ac:dyDescent="0.2">
      <c r="A480" s="56" t="s">
        <v>1423</v>
      </c>
      <c r="B480" s="455" t="s">
        <v>2829</v>
      </c>
      <c r="C480" s="470" t="s">
        <v>542</v>
      </c>
      <c r="D480" s="583"/>
      <c r="E480" s="176" t="s">
        <v>520</v>
      </c>
      <c r="F480" s="465" t="s">
        <v>1422</v>
      </c>
      <c r="G480" s="187" t="s">
        <v>211</v>
      </c>
      <c r="H480" s="189" t="s">
        <v>519</v>
      </c>
      <c r="I480" s="188">
        <f>(5120965)/1000*$I$5</f>
        <v>5120.9650000000001</v>
      </c>
      <c r="J480" s="188">
        <f t="shared" si="14"/>
        <v>5120.9650000000001</v>
      </c>
      <c r="K480" s="472" t="s">
        <v>790</v>
      </c>
      <c r="L480" s="59"/>
      <c r="M480" s="60" t="s">
        <v>522</v>
      </c>
    </row>
    <row r="481" spans="1:13" ht="84" x14ac:dyDescent="0.2">
      <c r="A481" s="56" t="s">
        <v>1424</v>
      </c>
      <c r="B481" s="455" t="s">
        <v>2830</v>
      </c>
      <c r="C481" s="470" t="s">
        <v>1427</v>
      </c>
      <c r="D481" s="583"/>
      <c r="E481" s="176" t="s">
        <v>524</v>
      </c>
      <c r="F481" s="465" t="s">
        <v>1428</v>
      </c>
      <c r="G481" s="187" t="s">
        <v>101</v>
      </c>
      <c r="H481" s="189" t="s">
        <v>141</v>
      </c>
      <c r="I481" s="188">
        <f>(3928184)/1000*$I$5</f>
        <v>3928.1840000000002</v>
      </c>
      <c r="J481" s="188">
        <f t="shared" si="14"/>
        <v>3928.1840000000002</v>
      </c>
      <c r="K481" s="472"/>
      <c r="L481" s="59"/>
      <c r="M481" s="60" t="s">
        <v>520</v>
      </c>
    </row>
    <row r="482" spans="1:13" ht="84" x14ac:dyDescent="0.2">
      <c r="A482" s="56" t="s">
        <v>1425</v>
      </c>
      <c r="B482" s="455" t="s">
        <v>2831</v>
      </c>
      <c r="C482" s="470" t="s">
        <v>526</v>
      </c>
      <c r="D482" s="583"/>
      <c r="E482" s="176" t="s">
        <v>527</v>
      </c>
      <c r="F482" s="465" t="s">
        <v>1429</v>
      </c>
      <c r="G482" s="187" t="s">
        <v>104</v>
      </c>
      <c r="H482" s="189" t="s">
        <v>20</v>
      </c>
      <c r="I482" s="188">
        <f>(1807561)/1000*$I$5</f>
        <v>1807.5609999999999</v>
      </c>
      <c r="J482" s="188">
        <f t="shared" si="14"/>
        <v>1807.5609999999999</v>
      </c>
      <c r="K482" s="472" t="s">
        <v>422</v>
      </c>
      <c r="L482" s="59"/>
      <c r="M482" s="60" t="s">
        <v>527</v>
      </c>
    </row>
    <row r="483" spans="1:13" ht="132" x14ac:dyDescent="0.2">
      <c r="A483" s="56" t="s">
        <v>1426</v>
      </c>
      <c r="B483" s="455" t="s">
        <v>2832</v>
      </c>
      <c r="C483" s="470" t="s">
        <v>529</v>
      </c>
      <c r="D483" s="583"/>
      <c r="E483" s="176" t="s">
        <v>532</v>
      </c>
      <c r="F483" s="465" t="s">
        <v>1430</v>
      </c>
      <c r="G483" s="187" t="s">
        <v>107</v>
      </c>
      <c r="H483" s="189" t="s">
        <v>531</v>
      </c>
      <c r="I483" s="188">
        <f>(3056511)/1000*$I$5</f>
        <v>3056.511</v>
      </c>
      <c r="J483" s="188">
        <f t="shared" si="14"/>
        <v>3056.511</v>
      </c>
      <c r="K483" s="472" t="s">
        <v>530</v>
      </c>
      <c r="L483" s="59"/>
      <c r="M483" s="60" t="s">
        <v>532</v>
      </c>
    </row>
    <row r="484" spans="1:13" ht="84" x14ac:dyDescent="0.2">
      <c r="A484" s="75" t="s">
        <v>1433</v>
      </c>
      <c r="B484" s="455" t="s">
        <v>2833</v>
      </c>
      <c r="C484" s="470" t="s">
        <v>1431</v>
      </c>
      <c r="D484" s="583"/>
      <c r="E484" s="176" t="s">
        <v>533</v>
      </c>
      <c r="F484" s="465" t="s">
        <v>1432</v>
      </c>
      <c r="G484" s="187" t="s">
        <v>107</v>
      </c>
      <c r="H484" s="189" t="s">
        <v>17</v>
      </c>
      <c r="I484" s="188">
        <f>(1909267+4614410)/1000*$I$5</f>
        <v>6523.6769999999997</v>
      </c>
      <c r="J484" s="188">
        <f t="shared" si="14"/>
        <v>6523.6769999999997</v>
      </c>
      <c r="K484" s="472" t="s">
        <v>535</v>
      </c>
      <c r="L484" s="59"/>
      <c r="M484" s="60" t="s">
        <v>533</v>
      </c>
    </row>
    <row r="485" spans="1:13" s="281" customFormat="1" ht="60" x14ac:dyDescent="0.2">
      <c r="A485" s="56" t="s">
        <v>1884</v>
      </c>
      <c r="B485" s="455" t="s">
        <v>2834</v>
      </c>
      <c r="C485" s="483" t="s">
        <v>2964</v>
      </c>
      <c r="D485" s="583"/>
      <c r="E485" s="488" t="s">
        <v>1744</v>
      </c>
      <c r="F485" s="479" t="s">
        <v>1746</v>
      </c>
      <c r="G485" s="455" t="s">
        <v>1606</v>
      </c>
      <c r="H485" s="284" t="s">
        <v>1559</v>
      </c>
      <c r="I485" s="279">
        <f>(1000000)/1000*$I$5</f>
        <v>1000</v>
      </c>
      <c r="J485" s="279">
        <f t="shared" si="14"/>
        <v>1000</v>
      </c>
      <c r="K485" s="479" t="s">
        <v>1745</v>
      </c>
      <c r="L485" s="283"/>
    </row>
    <row r="486" spans="1:13" s="281" customFormat="1" ht="72" x14ac:dyDescent="0.2">
      <c r="A486" s="75" t="s">
        <v>1885</v>
      </c>
      <c r="B486" s="455" t="s">
        <v>2835</v>
      </c>
      <c r="C486" s="483" t="s">
        <v>1752</v>
      </c>
      <c r="D486" s="583"/>
      <c r="E486" s="488" t="s">
        <v>1747</v>
      </c>
      <c r="F486" s="479" t="s">
        <v>2965</v>
      </c>
      <c r="G486" s="455" t="s">
        <v>11</v>
      </c>
      <c r="H486" s="284" t="s">
        <v>1606</v>
      </c>
      <c r="I486" s="279">
        <f>(368148/1000*$I$5)</f>
        <v>368.14800000000002</v>
      </c>
      <c r="J486" s="279">
        <f t="shared" si="14"/>
        <v>368.14800000000002</v>
      </c>
      <c r="K486" s="479"/>
      <c r="L486" s="283"/>
    </row>
    <row r="487" spans="1:13" s="281" customFormat="1" ht="36" x14ac:dyDescent="0.2">
      <c r="A487" s="56" t="s">
        <v>1886</v>
      </c>
      <c r="B487" s="455" t="s">
        <v>2836</v>
      </c>
      <c r="C487" s="483" t="s">
        <v>2966</v>
      </c>
      <c r="D487" s="583"/>
      <c r="E487" s="488" t="s">
        <v>1748</v>
      </c>
      <c r="F487" s="479" t="s">
        <v>1750</v>
      </c>
      <c r="G487" s="455" t="s">
        <v>1606</v>
      </c>
      <c r="H487" s="284" t="s">
        <v>21</v>
      </c>
      <c r="I487" s="279">
        <f>(333104)/1000*$I$5</f>
        <v>333.10399999999998</v>
      </c>
      <c r="J487" s="279">
        <f t="shared" si="14"/>
        <v>333.10399999999998</v>
      </c>
      <c r="K487" s="479" t="s">
        <v>1753</v>
      </c>
      <c r="L487" s="283"/>
    </row>
    <row r="488" spans="1:13" s="281" customFormat="1" ht="72" x14ac:dyDescent="0.2">
      <c r="A488" s="75" t="s">
        <v>1887</v>
      </c>
      <c r="B488" s="455" t="s">
        <v>2837</v>
      </c>
      <c r="C488" s="483" t="s">
        <v>1754</v>
      </c>
      <c r="D488" s="583"/>
      <c r="E488" s="488" t="s">
        <v>1749</v>
      </c>
      <c r="F488" s="479" t="s">
        <v>1751</v>
      </c>
      <c r="G488" s="455" t="s">
        <v>11</v>
      </c>
      <c r="H488" s="284" t="s">
        <v>531</v>
      </c>
      <c r="I488" s="279">
        <f>(411295)/1000*$I$5</f>
        <v>411.29500000000002</v>
      </c>
      <c r="J488" s="279">
        <f>I488-(401012)/1000*$I$5</f>
        <v>10.283000000000015</v>
      </c>
      <c r="K488" s="479"/>
      <c r="L488" s="283"/>
    </row>
    <row r="489" spans="1:13" s="281" customFormat="1" ht="48" x14ac:dyDescent="0.2">
      <c r="A489" s="56" t="s">
        <v>1888</v>
      </c>
      <c r="B489" s="455" t="s">
        <v>2838</v>
      </c>
      <c r="C489" s="483" t="s">
        <v>1773</v>
      </c>
      <c r="D489" s="583"/>
      <c r="E489" s="488" t="s">
        <v>1755</v>
      </c>
      <c r="F489" s="479" t="s">
        <v>2967</v>
      </c>
      <c r="G489" s="455" t="s">
        <v>21</v>
      </c>
      <c r="H489" s="284" t="s">
        <v>19</v>
      </c>
      <c r="I489" s="279">
        <f>(780087)/1000*$I$5</f>
        <v>780.08699999999999</v>
      </c>
      <c r="J489" s="279">
        <f t="shared" si="14"/>
        <v>780.08699999999999</v>
      </c>
      <c r="K489" s="479"/>
      <c r="L489" s="283"/>
    </row>
    <row r="490" spans="1:13" s="281" customFormat="1" ht="60" x14ac:dyDescent="0.2">
      <c r="A490" s="75" t="s">
        <v>1889</v>
      </c>
      <c r="B490" s="455" t="s">
        <v>2839</v>
      </c>
      <c r="C490" s="483" t="s">
        <v>1763</v>
      </c>
      <c r="D490" s="583"/>
      <c r="E490" s="488" t="s">
        <v>1756</v>
      </c>
      <c r="F490" s="479" t="s">
        <v>1764</v>
      </c>
      <c r="G490" s="455" t="s">
        <v>20</v>
      </c>
      <c r="H490" s="284" t="s">
        <v>63</v>
      </c>
      <c r="I490" s="279">
        <f>(279729)/1000*$I$5</f>
        <v>279.72899999999998</v>
      </c>
      <c r="J490" s="279">
        <f t="shared" si="14"/>
        <v>279.72899999999998</v>
      </c>
      <c r="K490" s="479"/>
      <c r="L490" s="283"/>
    </row>
    <row r="491" spans="1:13" s="281" customFormat="1" ht="65.25" customHeight="1" x14ac:dyDescent="0.2">
      <c r="A491" s="56" t="s">
        <v>1890</v>
      </c>
      <c r="B491" s="455" t="s">
        <v>2840</v>
      </c>
      <c r="C491" s="483" t="s">
        <v>1765</v>
      </c>
      <c r="D491" s="583"/>
      <c r="E491" s="488" t="s">
        <v>1757</v>
      </c>
      <c r="F491" s="479" t="s">
        <v>1766</v>
      </c>
      <c r="G491" s="455" t="s">
        <v>18</v>
      </c>
      <c r="H491" s="284" t="s">
        <v>20</v>
      </c>
      <c r="I491" s="279">
        <f>(61910)/1000*$I$5</f>
        <v>61.91</v>
      </c>
      <c r="J491" s="279">
        <f t="shared" si="14"/>
        <v>61.91</v>
      </c>
      <c r="K491" s="479"/>
      <c r="L491" s="283"/>
    </row>
    <row r="492" spans="1:13" s="281" customFormat="1" ht="60" x14ac:dyDescent="0.2">
      <c r="A492" s="75" t="s">
        <v>1891</v>
      </c>
      <c r="B492" s="455" t="s">
        <v>2841</v>
      </c>
      <c r="C492" s="483" t="s">
        <v>1767</v>
      </c>
      <c r="D492" s="583"/>
      <c r="E492" s="488" t="s">
        <v>1758</v>
      </c>
      <c r="F492" s="479" t="s">
        <v>1768</v>
      </c>
      <c r="G492" s="455" t="s">
        <v>20</v>
      </c>
      <c r="H492" s="284" t="s">
        <v>20</v>
      </c>
      <c r="I492" s="279">
        <f>(1181433)/1000*$I$5</f>
        <v>1181.433</v>
      </c>
      <c r="J492" s="279">
        <f t="shared" si="14"/>
        <v>1181.433</v>
      </c>
      <c r="K492" s="479"/>
      <c r="L492" s="283"/>
    </row>
    <row r="493" spans="1:13" s="281" customFormat="1" ht="48" x14ac:dyDescent="0.2">
      <c r="A493" s="56" t="s">
        <v>1892</v>
      </c>
      <c r="B493" s="455" t="s">
        <v>2842</v>
      </c>
      <c r="C493" s="483" t="s">
        <v>1770</v>
      </c>
      <c r="D493" s="583"/>
      <c r="E493" s="488" t="s">
        <v>1771</v>
      </c>
      <c r="F493" s="479" t="s">
        <v>1769</v>
      </c>
      <c r="G493" s="455" t="s">
        <v>63</v>
      </c>
      <c r="H493" s="284" t="s">
        <v>15</v>
      </c>
      <c r="I493" s="279">
        <f>(587068)/1000*$I$5</f>
        <v>587.06799999999998</v>
      </c>
      <c r="J493" s="279">
        <f t="shared" si="14"/>
        <v>587.06799999999998</v>
      </c>
      <c r="K493" s="479"/>
      <c r="L493" s="283"/>
    </row>
    <row r="494" spans="1:13" s="281" customFormat="1" ht="72" x14ac:dyDescent="0.2">
      <c r="A494" s="75" t="s">
        <v>1893</v>
      </c>
      <c r="B494" s="455" t="s">
        <v>2843</v>
      </c>
      <c r="C494" s="483" t="s">
        <v>1772</v>
      </c>
      <c r="D494" s="583"/>
      <c r="E494" s="488" t="s">
        <v>1759</v>
      </c>
      <c r="F494" s="479" t="s">
        <v>1842</v>
      </c>
      <c r="G494" s="455" t="s">
        <v>18</v>
      </c>
      <c r="H494" s="284" t="s">
        <v>63</v>
      </c>
      <c r="I494" s="279">
        <f>(2650496)/1000*$I$5</f>
        <v>2650.4960000000001</v>
      </c>
      <c r="J494" s="279">
        <f>I494-(350000)/1000*$I$5</f>
        <v>2300.4960000000001</v>
      </c>
      <c r="K494" s="479"/>
      <c r="L494" s="283"/>
    </row>
    <row r="495" spans="1:13" s="281" customFormat="1" ht="72" x14ac:dyDescent="0.2">
      <c r="A495" s="56" t="s">
        <v>1894</v>
      </c>
      <c r="B495" s="455" t="s">
        <v>2844</v>
      </c>
      <c r="C495" s="483" t="s">
        <v>1773</v>
      </c>
      <c r="D495" s="583"/>
      <c r="E495" s="488" t="s">
        <v>1760</v>
      </c>
      <c r="F495" s="479" t="s">
        <v>2968</v>
      </c>
      <c r="G495" s="455" t="s">
        <v>63</v>
      </c>
      <c r="H495" s="284" t="s">
        <v>63</v>
      </c>
      <c r="I495" s="279">
        <f>(727460)/1000*$I$5</f>
        <v>727.46</v>
      </c>
      <c r="J495" s="279">
        <f t="shared" si="14"/>
        <v>727.46</v>
      </c>
      <c r="K495" s="479"/>
      <c r="L495" s="283"/>
    </row>
    <row r="496" spans="1:13" s="281" customFormat="1" ht="180" x14ac:dyDescent="0.2">
      <c r="A496" s="75" t="s">
        <v>1895</v>
      </c>
      <c r="B496" s="455" t="s">
        <v>2845</v>
      </c>
      <c r="C496" s="483" t="s">
        <v>1774</v>
      </c>
      <c r="D496" s="583"/>
      <c r="E496" s="488" t="s">
        <v>1761</v>
      </c>
      <c r="F496" s="479" t="s">
        <v>1775</v>
      </c>
      <c r="G496" s="455" t="s">
        <v>20</v>
      </c>
      <c r="H496" s="284" t="s">
        <v>63</v>
      </c>
      <c r="I496" s="279">
        <f>(1517435)/1000*$I$5</f>
        <v>1517.4349999999999</v>
      </c>
      <c r="J496" s="279">
        <f t="shared" si="14"/>
        <v>1517.4349999999999</v>
      </c>
      <c r="K496" s="479"/>
      <c r="L496" s="283"/>
    </row>
    <row r="497" spans="1:12" s="281" customFormat="1" ht="48" x14ac:dyDescent="0.2">
      <c r="A497" s="56" t="s">
        <v>1896</v>
      </c>
      <c r="B497" s="455" t="s">
        <v>2846</v>
      </c>
      <c r="C497" s="483" t="s">
        <v>1783</v>
      </c>
      <c r="D497" s="583"/>
      <c r="E497" s="488" t="s">
        <v>1776</v>
      </c>
      <c r="F497" s="479" t="s">
        <v>1784</v>
      </c>
      <c r="G497" s="455" t="s">
        <v>63</v>
      </c>
      <c r="H497" s="284" t="s">
        <v>1554</v>
      </c>
      <c r="I497" s="279">
        <f>(3373345)/1000*$I$5</f>
        <v>3373.3449999999998</v>
      </c>
      <c r="J497" s="279">
        <f t="shared" si="14"/>
        <v>3373.3449999999998</v>
      </c>
      <c r="K497" s="479"/>
      <c r="L497" s="283"/>
    </row>
    <row r="498" spans="1:12" s="281" customFormat="1" ht="48" x14ac:dyDescent="0.2">
      <c r="A498" s="75" t="s">
        <v>1897</v>
      </c>
      <c r="B498" s="455" t="s">
        <v>2847</v>
      </c>
      <c r="C498" s="483" t="s">
        <v>1786</v>
      </c>
      <c r="D498" s="583"/>
      <c r="E498" s="488" t="s">
        <v>1777</v>
      </c>
      <c r="F498" s="479" t="s">
        <v>1785</v>
      </c>
      <c r="G498" s="455" t="s">
        <v>1554</v>
      </c>
      <c r="H498" s="284" t="s">
        <v>1554</v>
      </c>
      <c r="I498" s="279">
        <f>(122097)/1000*$I$5</f>
        <v>122.09699999999999</v>
      </c>
      <c r="J498" s="279">
        <f t="shared" si="14"/>
        <v>122.09699999999999</v>
      </c>
      <c r="K498" s="479" t="s">
        <v>2969</v>
      </c>
      <c r="L498" s="283"/>
    </row>
    <row r="499" spans="1:12" s="281" customFormat="1" ht="96" x14ac:dyDescent="0.2">
      <c r="A499" s="56" t="s">
        <v>1898</v>
      </c>
      <c r="B499" s="455" t="s">
        <v>2848</v>
      </c>
      <c r="C499" s="483" t="s">
        <v>1787</v>
      </c>
      <c r="D499" s="583"/>
      <c r="E499" s="488" t="s">
        <v>1778</v>
      </c>
      <c r="F499" s="479" t="s">
        <v>1788</v>
      </c>
      <c r="G499" s="455" t="s">
        <v>19</v>
      </c>
      <c r="H499" s="284" t="s">
        <v>19</v>
      </c>
      <c r="I499" s="279">
        <f>(637224)/1000*$I$5</f>
        <v>637.22400000000005</v>
      </c>
      <c r="J499" s="279">
        <f t="shared" si="14"/>
        <v>637.22400000000005</v>
      </c>
      <c r="K499" s="479"/>
      <c r="L499" s="283"/>
    </row>
    <row r="500" spans="1:12" s="281" customFormat="1" ht="96" x14ac:dyDescent="0.2">
      <c r="A500" s="75" t="s">
        <v>1899</v>
      </c>
      <c r="B500" s="455" t="s">
        <v>2849</v>
      </c>
      <c r="C500" s="483" t="s">
        <v>1790</v>
      </c>
      <c r="D500" s="583"/>
      <c r="E500" s="488" t="s">
        <v>1795</v>
      </c>
      <c r="F500" s="479" t="s">
        <v>1789</v>
      </c>
      <c r="G500" s="455" t="s">
        <v>17</v>
      </c>
      <c r="H500" s="284" t="s">
        <v>15</v>
      </c>
      <c r="I500" s="279">
        <f>(1153170)/1000*$I$5</f>
        <v>1153.17</v>
      </c>
      <c r="J500" s="279">
        <f t="shared" si="14"/>
        <v>1153.17</v>
      </c>
      <c r="K500" s="479"/>
      <c r="L500" s="283"/>
    </row>
    <row r="501" spans="1:12" s="281" customFormat="1" ht="36" x14ac:dyDescent="0.2">
      <c r="A501" s="56" t="s">
        <v>1900</v>
      </c>
      <c r="B501" s="455" t="s">
        <v>2850</v>
      </c>
      <c r="C501" s="483" t="s">
        <v>1792</v>
      </c>
      <c r="D501" s="583"/>
      <c r="E501" s="488" t="s">
        <v>1779</v>
      </c>
      <c r="F501" s="479" t="s">
        <v>1791</v>
      </c>
      <c r="G501" s="455" t="s">
        <v>17</v>
      </c>
      <c r="H501" s="284" t="s">
        <v>598</v>
      </c>
      <c r="I501" s="279">
        <f>(3359181)/1000*$I$5</f>
        <v>3359.181</v>
      </c>
      <c r="J501" s="279">
        <f t="shared" si="14"/>
        <v>3359.181</v>
      </c>
      <c r="K501" s="479"/>
      <c r="L501" s="283"/>
    </row>
    <row r="502" spans="1:12" s="281" customFormat="1" ht="48" x14ac:dyDescent="0.2">
      <c r="A502" s="75" t="s">
        <v>1901</v>
      </c>
      <c r="B502" s="455" t="s">
        <v>2851</v>
      </c>
      <c r="C502" s="483" t="s">
        <v>1793</v>
      </c>
      <c r="D502" s="583"/>
      <c r="E502" s="488" t="s">
        <v>1796</v>
      </c>
      <c r="F502" s="479" t="s">
        <v>1794</v>
      </c>
      <c r="G502" s="455" t="s">
        <v>17</v>
      </c>
      <c r="H502" s="284" t="s">
        <v>610</v>
      </c>
      <c r="I502" s="279">
        <f>(4255000)/1000*$I$5</f>
        <v>4255</v>
      </c>
      <c r="J502" s="279">
        <f t="shared" si="14"/>
        <v>4255</v>
      </c>
      <c r="K502" s="479"/>
      <c r="L502" s="283"/>
    </row>
    <row r="503" spans="1:12" s="281" customFormat="1" ht="96" x14ac:dyDescent="0.2">
      <c r="A503" s="56" t="s">
        <v>1902</v>
      </c>
      <c r="B503" s="455" t="s">
        <v>2852</v>
      </c>
      <c r="C503" s="483" t="s">
        <v>1799</v>
      </c>
      <c r="D503" s="583"/>
      <c r="E503" s="488" t="s">
        <v>1797</v>
      </c>
      <c r="F503" s="479" t="s">
        <v>1798</v>
      </c>
      <c r="G503" s="455" t="s">
        <v>19</v>
      </c>
      <c r="H503" s="284" t="s">
        <v>1721</v>
      </c>
      <c r="I503" s="279">
        <f>(353828)/1000*$I$5</f>
        <v>353.82799999999997</v>
      </c>
      <c r="J503" s="279">
        <f t="shared" si="14"/>
        <v>353.82799999999997</v>
      </c>
      <c r="K503" s="479"/>
      <c r="L503" s="283"/>
    </row>
    <row r="504" spans="1:12" s="281" customFormat="1" ht="66" customHeight="1" x14ac:dyDescent="0.2">
      <c r="A504" s="75" t="s">
        <v>1903</v>
      </c>
      <c r="B504" s="455" t="s">
        <v>2853</v>
      </c>
      <c r="C504" s="483" t="s">
        <v>1801</v>
      </c>
      <c r="D504" s="583"/>
      <c r="E504" s="488" t="s">
        <v>1780</v>
      </c>
      <c r="F504" s="479" t="s">
        <v>1800</v>
      </c>
      <c r="G504" s="455" t="s">
        <v>19</v>
      </c>
      <c r="H504" s="284" t="s">
        <v>15</v>
      </c>
      <c r="I504" s="279">
        <f>(1213435)/1000*$I$5</f>
        <v>1213.4349999999999</v>
      </c>
      <c r="J504" s="279">
        <f t="shared" si="14"/>
        <v>1213.4349999999999</v>
      </c>
      <c r="K504" s="479"/>
      <c r="L504" s="283"/>
    </row>
    <row r="505" spans="1:12" s="281" customFormat="1" ht="100.5" customHeight="1" x14ac:dyDescent="0.2">
      <c r="A505" s="56" t="s">
        <v>1904</v>
      </c>
      <c r="B505" s="455" t="s">
        <v>2854</v>
      </c>
      <c r="C505" s="483" t="s">
        <v>1802</v>
      </c>
      <c r="D505" s="583"/>
      <c r="E505" s="488" t="s">
        <v>1781</v>
      </c>
      <c r="F505" s="479" t="s">
        <v>2970</v>
      </c>
      <c r="G505" s="455" t="s">
        <v>19</v>
      </c>
      <c r="H505" s="284" t="s">
        <v>610</v>
      </c>
      <c r="I505" s="279">
        <f>(1630446)/1000*$I$5</f>
        <v>1630.4459999999999</v>
      </c>
      <c r="J505" s="279">
        <f t="shared" si="14"/>
        <v>1630.4459999999999</v>
      </c>
      <c r="K505" s="479"/>
      <c r="L505" s="283"/>
    </row>
    <row r="506" spans="1:12" s="281" customFormat="1" ht="60" x14ac:dyDescent="0.2">
      <c r="A506" s="75" t="s">
        <v>1905</v>
      </c>
      <c r="B506" s="455" t="s">
        <v>2855</v>
      </c>
      <c r="C506" s="483" t="s">
        <v>1804</v>
      </c>
      <c r="D506" s="583"/>
      <c r="E506" s="488" t="s">
        <v>1782</v>
      </c>
      <c r="F506" s="479" t="s">
        <v>1803</v>
      </c>
      <c r="G506" s="455" t="s">
        <v>19</v>
      </c>
      <c r="H506" s="284" t="s">
        <v>598</v>
      </c>
      <c r="I506" s="279">
        <f>(2036726)/1000*$I$5</f>
        <v>2036.7260000000001</v>
      </c>
      <c r="J506" s="279">
        <f t="shared" si="14"/>
        <v>2036.7260000000001</v>
      </c>
      <c r="K506" s="479"/>
      <c r="L506" s="283"/>
    </row>
    <row r="507" spans="1:12" s="281" customFormat="1" ht="93.75" customHeight="1" x14ac:dyDescent="0.2">
      <c r="A507" s="56" t="s">
        <v>1906</v>
      </c>
      <c r="B507" s="455" t="s">
        <v>2856</v>
      </c>
      <c r="C507" s="483" t="s">
        <v>1807</v>
      </c>
      <c r="D507" s="583"/>
      <c r="E507" s="488" t="s">
        <v>1806</v>
      </c>
      <c r="F507" s="479" t="s">
        <v>1805</v>
      </c>
      <c r="G507" s="455" t="s">
        <v>1559</v>
      </c>
      <c r="H507" s="284" t="s">
        <v>610</v>
      </c>
      <c r="I507" s="279">
        <f>(2200000)/1000*$I$5</f>
        <v>2200</v>
      </c>
      <c r="J507" s="279">
        <f t="shared" si="14"/>
        <v>2200</v>
      </c>
      <c r="K507" s="479"/>
      <c r="L507" s="283"/>
    </row>
    <row r="508" spans="1:12" s="281" customFormat="1" ht="60" x14ac:dyDescent="0.2">
      <c r="A508" s="75" t="s">
        <v>1907</v>
      </c>
      <c r="B508" s="455" t="s">
        <v>2857</v>
      </c>
      <c r="C508" s="483" t="s">
        <v>1829</v>
      </c>
      <c r="D508" s="583"/>
      <c r="E508" s="488" t="s">
        <v>1808</v>
      </c>
      <c r="F508" s="479" t="s">
        <v>1828</v>
      </c>
      <c r="G508" s="455" t="s">
        <v>613</v>
      </c>
      <c r="H508" s="284" t="s">
        <v>1830</v>
      </c>
      <c r="I508" s="279">
        <f>(546921)/1000*$I$5</f>
        <v>546.92100000000005</v>
      </c>
      <c r="J508" s="279">
        <f t="shared" si="14"/>
        <v>546.92100000000005</v>
      </c>
      <c r="K508" s="479"/>
      <c r="L508" s="283"/>
    </row>
    <row r="509" spans="1:12" s="281" customFormat="1" ht="60" x14ac:dyDescent="0.2">
      <c r="A509" s="56" t="s">
        <v>1908</v>
      </c>
      <c r="B509" s="455" t="s">
        <v>2858</v>
      </c>
      <c r="C509" s="483" t="s">
        <v>1832</v>
      </c>
      <c r="D509" s="583"/>
      <c r="E509" s="488" t="s">
        <v>1809</v>
      </c>
      <c r="F509" s="479" t="s">
        <v>1831</v>
      </c>
      <c r="G509" s="455" t="s">
        <v>1677</v>
      </c>
      <c r="H509" s="284" t="s">
        <v>1737</v>
      </c>
      <c r="I509" s="279">
        <f>(5823413)/1000*$I$5</f>
        <v>5823.4129999999996</v>
      </c>
      <c r="J509" s="279">
        <f>I509-(0)/1000*$I$5</f>
        <v>5823.4129999999996</v>
      </c>
      <c r="K509" s="479"/>
      <c r="L509" s="283"/>
    </row>
    <row r="510" spans="1:12" s="281" customFormat="1" ht="72" x14ac:dyDescent="0.2">
      <c r="A510" s="75" t="s">
        <v>1909</v>
      </c>
      <c r="B510" s="455" t="s">
        <v>2859</v>
      </c>
      <c r="C510" s="483" t="s">
        <v>1765</v>
      </c>
      <c r="D510" s="583"/>
      <c r="E510" s="488" t="s">
        <v>1810</v>
      </c>
      <c r="F510" s="479" t="s">
        <v>1833</v>
      </c>
      <c r="G510" s="455" t="s">
        <v>1830</v>
      </c>
      <c r="H510" s="284" t="s">
        <v>1677</v>
      </c>
      <c r="I510" s="279">
        <f>(2729481.36)/1000*$I$5</f>
        <v>2729.4813599999998</v>
      </c>
      <c r="J510" s="279">
        <f t="shared" si="14"/>
        <v>2729.4813599999998</v>
      </c>
      <c r="K510" s="479" t="s">
        <v>2971</v>
      </c>
      <c r="L510" s="283"/>
    </row>
    <row r="511" spans="1:12" s="281" customFormat="1" ht="60" x14ac:dyDescent="0.2">
      <c r="A511" s="56" t="s">
        <v>1910</v>
      </c>
      <c r="B511" s="455" t="s">
        <v>2860</v>
      </c>
      <c r="C511" s="483" t="s">
        <v>1793</v>
      </c>
      <c r="D511" s="583"/>
      <c r="E511" s="488" t="s">
        <v>1811</v>
      </c>
      <c r="F511" s="479" t="s">
        <v>1834</v>
      </c>
      <c r="G511" s="455" t="s">
        <v>1830</v>
      </c>
      <c r="H511" s="284" t="s">
        <v>1677</v>
      </c>
      <c r="I511" s="279">
        <f>(154408.47)/1000*$I$5</f>
        <v>154.40846999999999</v>
      </c>
      <c r="J511" s="279">
        <f t="shared" si="14"/>
        <v>154.40846999999999</v>
      </c>
      <c r="K511" s="479"/>
      <c r="L511" s="283"/>
    </row>
    <row r="512" spans="1:12" s="281" customFormat="1" ht="48" x14ac:dyDescent="0.2">
      <c r="A512" s="75" t="s">
        <v>1911</v>
      </c>
      <c r="B512" s="455" t="s">
        <v>2861</v>
      </c>
      <c r="C512" s="483" t="s">
        <v>1836</v>
      </c>
      <c r="D512" s="583"/>
      <c r="E512" s="488" t="s">
        <v>1812</v>
      </c>
      <c r="F512" s="479" t="s">
        <v>1835</v>
      </c>
      <c r="G512" s="455" t="s">
        <v>1830</v>
      </c>
      <c r="H512" s="284" t="s">
        <v>1830</v>
      </c>
      <c r="I512" s="279">
        <f>(147000)/1000*$I$5</f>
        <v>147</v>
      </c>
      <c r="J512" s="279">
        <f t="shared" si="14"/>
        <v>147</v>
      </c>
      <c r="K512" s="479"/>
      <c r="L512" s="283"/>
    </row>
    <row r="513" spans="1:12" s="281" customFormat="1" ht="84" x14ac:dyDescent="0.2">
      <c r="A513" s="56" t="s">
        <v>1912</v>
      </c>
      <c r="B513" s="455" t="s">
        <v>2862</v>
      </c>
      <c r="C513" s="483" t="s">
        <v>1836</v>
      </c>
      <c r="D513" s="583"/>
      <c r="E513" s="488" t="s">
        <v>1813</v>
      </c>
      <c r="F513" s="479" t="s">
        <v>1837</v>
      </c>
      <c r="G513" s="455" t="s">
        <v>15</v>
      </c>
      <c r="H513" s="284" t="s">
        <v>1830</v>
      </c>
      <c r="I513" s="279">
        <f>(1834000)/1000*$I$5</f>
        <v>1834</v>
      </c>
      <c r="J513" s="279">
        <f t="shared" si="14"/>
        <v>1834</v>
      </c>
      <c r="K513" s="479"/>
      <c r="L513" s="283"/>
    </row>
    <row r="514" spans="1:12" s="281" customFormat="1" ht="36" x14ac:dyDescent="0.2">
      <c r="A514" s="75" t="s">
        <v>1913</v>
      </c>
      <c r="B514" s="455" t="s">
        <v>2863</v>
      </c>
      <c r="C514" s="483" t="s">
        <v>1838</v>
      </c>
      <c r="D514" s="583"/>
      <c r="E514" s="488" t="s">
        <v>1845</v>
      </c>
      <c r="F514" s="479" t="s">
        <v>1822</v>
      </c>
      <c r="G514" s="455" t="s">
        <v>1677</v>
      </c>
      <c r="H514" s="284" t="s">
        <v>1614</v>
      </c>
      <c r="I514" s="279">
        <f>(560000)/1000*$I$5</f>
        <v>560</v>
      </c>
      <c r="J514" s="279">
        <f t="shared" si="14"/>
        <v>560</v>
      </c>
      <c r="K514" s="479"/>
      <c r="L514" s="283"/>
    </row>
    <row r="515" spans="1:12" s="281" customFormat="1" ht="36" x14ac:dyDescent="0.2">
      <c r="A515" s="56" t="s">
        <v>1914</v>
      </c>
      <c r="B515" s="455" t="s">
        <v>2864</v>
      </c>
      <c r="C515" s="483" t="s">
        <v>1839</v>
      </c>
      <c r="D515" s="583"/>
      <c r="E515" s="488" t="s">
        <v>1814</v>
      </c>
      <c r="F515" s="479" t="s">
        <v>1840</v>
      </c>
      <c r="G515" s="455" t="s">
        <v>1677</v>
      </c>
      <c r="H515" s="284" t="s">
        <v>1677</v>
      </c>
      <c r="I515" s="279">
        <f>(912378.03)/1000*$I$5</f>
        <v>912.37803000000008</v>
      </c>
      <c r="J515" s="279">
        <f t="shared" si="14"/>
        <v>912.37803000000008</v>
      </c>
      <c r="K515" s="479"/>
      <c r="L515" s="283"/>
    </row>
    <row r="516" spans="1:12" s="281" customFormat="1" ht="36" x14ac:dyDescent="0.2">
      <c r="A516" s="75" t="s">
        <v>1915</v>
      </c>
      <c r="B516" s="455" t="s">
        <v>2865</v>
      </c>
      <c r="C516" s="483" t="s">
        <v>1838</v>
      </c>
      <c r="D516" s="583"/>
      <c r="E516" s="488" t="s">
        <v>1815</v>
      </c>
      <c r="F516" s="479" t="s">
        <v>1841</v>
      </c>
      <c r="G516" s="455" t="s">
        <v>1591</v>
      </c>
      <c r="H516" s="284" t="s">
        <v>872</v>
      </c>
      <c r="I516" s="279">
        <f>(116198.59)/1000*$I$5</f>
        <v>116.19859</v>
      </c>
      <c r="J516" s="279">
        <f t="shared" si="14"/>
        <v>116.19859</v>
      </c>
      <c r="K516" s="479"/>
      <c r="L516" s="283"/>
    </row>
    <row r="517" spans="1:12" s="281" customFormat="1" ht="180" x14ac:dyDescent="0.2">
      <c r="A517" s="56" t="s">
        <v>1916</v>
      </c>
      <c r="B517" s="455" t="s">
        <v>2866</v>
      </c>
      <c r="C517" s="483" t="s">
        <v>1844</v>
      </c>
      <c r="D517" s="583"/>
      <c r="E517" s="488" t="s">
        <v>1846</v>
      </c>
      <c r="F517" s="479" t="s">
        <v>1843</v>
      </c>
      <c r="G517" s="455" t="s">
        <v>1591</v>
      </c>
      <c r="H517" s="284" t="s">
        <v>872</v>
      </c>
      <c r="I517" s="279">
        <f>(994291.84)/1000*$I$5</f>
        <v>994.29183999999998</v>
      </c>
      <c r="J517" s="279">
        <f t="shared" si="14"/>
        <v>994.29183999999998</v>
      </c>
      <c r="K517" s="479"/>
      <c r="L517" s="283"/>
    </row>
    <row r="518" spans="1:12" s="281" customFormat="1" ht="168" x14ac:dyDescent="0.2">
      <c r="A518" s="75" t="s">
        <v>1917</v>
      </c>
      <c r="B518" s="455" t="s">
        <v>2867</v>
      </c>
      <c r="C518" s="483" t="s">
        <v>1847</v>
      </c>
      <c r="D518" s="583"/>
      <c r="E518" s="488" t="s">
        <v>1816</v>
      </c>
      <c r="F518" s="479" t="s">
        <v>1823</v>
      </c>
      <c r="G518" s="455" t="s">
        <v>1591</v>
      </c>
      <c r="H518" s="284" t="s">
        <v>1520</v>
      </c>
      <c r="I518" s="279">
        <f>(6651505.78)/1000*$I$5</f>
        <v>6651.5057800000004</v>
      </c>
      <c r="J518" s="279">
        <f t="shared" si="14"/>
        <v>6651.5057800000004</v>
      </c>
      <c r="K518" s="479"/>
      <c r="L518" s="283"/>
    </row>
    <row r="519" spans="1:12" s="281" customFormat="1" ht="33.75" x14ac:dyDescent="0.2">
      <c r="A519" s="56" t="s">
        <v>1918</v>
      </c>
      <c r="B519" s="455" t="s">
        <v>2868</v>
      </c>
      <c r="C519" s="483" t="s">
        <v>1824</v>
      </c>
      <c r="D519" s="583"/>
      <c r="E519" s="488" t="s">
        <v>1817</v>
      </c>
      <c r="F519" s="479" t="s">
        <v>1824</v>
      </c>
      <c r="G519" s="455" t="s">
        <v>1591</v>
      </c>
      <c r="H519" s="284" t="s">
        <v>872</v>
      </c>
      <c r="I519" s="279">
        <f>(906139.83)/1000*$I$5</f>
        <v>906.13982999999996</v>
      </c>
      <c r="J519" s="279">
        <f t="shared" si="14"/>
        <v>906.13982999999996</v>
      </c>
      <c r="K519" s="479"/>
      <c r="L519" s="283"/>
    </row>
    <row r="520" spans="1:12" s="281" customFormat="1" ht="48" x14ac:dyDescent="0.2">
      <c r="A520" s="75" t="s">
        <v>1919</v>
      </c>
      <c r="B520" s="455" t="s">
        <v>2869</v>
      </c>
      <c r="C520" s="483" t="s">
        <v>1848</v>
      </c>
      <c r="D520" s="583"/>
      <c r="E520" s="488" t="s">
        <v>1818</v>
      </c>
      <c r="F520" s="479" t="s">
        <v>1825</v>
      </c>
      <c r="G520" s="455" t="s">
        <v>1591</v>
      </c>
      <c r="H520" s="284" t="s">
        <v>872</v>
      </c>
      <c r="I520" s="279">
        <f>(314097.46)/1000*$I$5</f>
        <v>314.09746000000001</v>
      </c>
      <c r="J520" s="279">
        <f t="shared" si="14"/>
        <v>314.09746000000001</v>
      </c>
      <c r="K520" s="479"/>
      <c r="L520" s="283"/>
    </row>
    <row r="521" spans="1:12" s="281" customFormat="1" ht="60" x14ac:dyDescent="0.2">
      <c r="A521" s="56" t="s">
        <v>1920</v>
      </c>
      <c r="B521" s="455" t="s">
        <v>2870</v>
      </c>
      <c r="C521" s="483" t="s">
        <v>1849</v>
      </c>
      <c r="D521" s="583"/>
      <c r="E521" s="488" t="s">
        <v>1819</v>
      </c>
      <c r="F521" s="479" t="s">
        <v>1826</v>
      </c>
      <c r="G521" s="455" t="s">
        <v>872</v>
      </c>
      <c r="H521" s="284" t="s">
        <v>1575</v>
      </c>
      <c r="I521" s="279">
        <f>(1881434)/1000*$I$5</f>
        <v>1881.434</v>
      </c>
      <c r="J521" s="279">
        <f t="shared" si="14"/>
        <v>1881.434</v>
      </c>
      <c r="K521" s="479"/>
      <c r="L521" s="283"/>
    </row>
    <row r="522" spans="1:12" s="281" customFormat="1" ht="228" x14ac:dyDescent="0.2">
      <c r="A522" s="75" t="s">
        <v>1921</v>
      </c>
      <c r="B522" s="455" t="s">
        <v>2871</v>
      </c>
      <c r="C522" s="483" t="s">
        <v>1851</v>
      </c>
      <c r="D522" s="583"/>
      <c r="E522" s="488" t="s">
        <v>1820</v>
      </c>
      <c r="F522" s="479" t="s">
        <v>1850</v>
      </c>
      <c r="G522" s="455" t="s">
        <v>1586</v>
      </c>
      <c r="H522" s="284" t="s">
        <v>1643</v>
      </c>
      <c r="I522" s="279">
        <f>(2234816.03)/1000*$I$5</f>
        <v>2234.81603</v>
      </c>
      <c r="J522" s="279">
        <f t="shared" si="14"/>
        <v>2234.81603</v>
      </c>
      <c r="K522" s="479"/>
      <c r="L522" s="283"/>
    </row>
    <row r="523" spans="1:12" s="281" customFormat="1" ht="60" x14ac:dyDescent="0.2">
      <c r="A523" s="56" t="s">
        <v>1922</v>
      </c>
      <c r="B523" s="455" t="s">
        <v>2872</v>
      </c>
      <c r="C523" s="483" t="s">
        <v>1838</v>
      </c>
      <c r="D523" s="583"/>
      <c r="E523" s="488" t="s">
        <v>1821</v>
      </c>
      <c r="F523" s="479" t="s">
        <v>1827</v>
      </c>
      <c r="G523" s="455" t="s">
        <v>1575</v>
      </c>
      <c r="H523" s="284" t="s">
        <v>1522</v>
      </c>
      <c r="I523" s="279">
        <f>(762463.35)/1000*$I$5</f>
        <v>762.46334999999999</v>
      </c>
      <c r="J523" s="279">
        <f t="shared" si="14"/>
        <v>762.46334999999999</v>
      </c>
      <c r="K523" s="479"/>
      <c r="L523" s="283"/>
    </row>
    <row r="524" spans="1:12" s="281" customFormat="1" ht="70.5" customHeight="1" x14ac:dyDescent="0.2">
      <c r="A524" s="75" t="s">
        <v>1923</v>
      </c>
      <c r="B524" s="455" t="s">
        <v>2873</v>
      </c>
      <c r="C524" s="483" t="s">
        <v>1838</v>
      </c>
      <c r="D524" s="583"/>
      <c r="E524" s="488" t="s">
        <v>1852</v>
      </c>
      <c r="F524" s="479" t="s">
        <v>1868</v>
      </c>
      <c r="G524" s="455" t="s">
        <v>1869</v>
      </c>
      <c r="H524" s="284" t="s">
        <v>1870</v>
      </c>
      <c r="I524" s="279">
        <f>(560000)/1000*$I$5</f>
        <v>560</v>
      </c>
      <c r="J524" s="279">
        <f t="shared" si="14"/>
        <v>560</v>
      </c>
      <c r="K524" s="323" t="s">
        <v>1867</v>
      </c>
      <c r="L524" s="283"/>
    </row>
    <row r="525" spans="1:12" s="281" customFormat="1" ht="96" x14ac:dyDescent="0.2">
      <c r="A525" s="56" t="s">
        <v>1924</v>
      </c>
      <c r="B525" s="455" t="s">
        <v>2874</v>
      </c>
      <c r="C525" s="483" t="s">
        <v>1849</v>
      </c>
      <c r="D525" s="583"/>
      <c r="E525" s="488" t="s">
        <v>1853</v>
      </c>
      <c r="F525" s="479" t="s">
        <v>1861</v>
      </c>
      <c r="G525" s="455" t="s">
        <v>1869</v>
      </c>
      <c r="H525" s="284" t="s">
        <v>1614</v>
      </c>
      <c r="I525" s="279">
        <f>(580000)/1000*$I$5</f>
        <v>580</v>
      </c>
      <c r="J525" s="279">
        <f t="shared" si="14"/>
        <v>580</v>
      </c>
      <c r="K525" s="479"/>
      <c r="L525" s="283"/>
    </row>
    <row r="526" spans="1:12" s="281" customFormat="1" ht="48" x14ac:dyDescent="0.2">
      <c r="A526" s="75" t="s">
        <v>1925</v>
      </c>
      <c r="B526" s="455" t="s">
        <v>2875</v>
      </c>
      <c r="C526" s="483" t="s">
        <v>1838</v>
      </c>
      <c r="D526" s="583"/>
      <c r="E526" s="488" t="s">
        <v>1854</v>
      </c>
      <c r="F526" s="479" t="s">
        <v>1862</v>
      </c>
      <c r="G526" s="455" t="s">
        <v>1614</v>
      </c>
      <c r="H526" s="284" t="s">
        <v>1636</v>
      </c>
      <c r="I526" s="279">
        <f>(120125.84)/1000*$I$5</f>
        <v>120.12584</v>
      </c>
      <c r="J526" s="279">
        <f t="shared" si="14"/>
        <v>120.12584</v>
      </c>
      <c r="K526" s="479"/>
      <c r="L526" s="283"/>
    </row>
    <row r="527" spans="1:12" s="281" customFormat="1" ht="48" x14ac:dyDescent="0.2">
      <c r="A527" s="56" t="s">
        <v>1926</v>
      </c>
      <c r="B527" s="455" t="s">
        <v>2876</v>
      </c>
      <c r="C527" s="483" t="s">
        <v>1838</v>
      </c>
      <c r="D527" s="583"/>
      <c r="E527" s="488" t="s">
        <v>1855</v>
      </c>
      <c r="F527" s="479" t="s">
        <v>1863</v>
      </c>
      <c r="G527" s="455" t="s">
        <v>1614</v>
      </c>
      <c r="H527" s="284" t="s">
        <v>1526</v>
      </c>
      <c r="I527" s="279">
        <f>(3244950.59)/1000*$I$5</f>
        <v>3244.9505899999999</v>
      </c>
      <c r="J527" s="279">
        <f t="shared" si="14"/>
        <v>3244.9505899999999</v>
      </c>
      <c r="K527" s="479"/>
      <c r="L527" s="283"/>
    </row>
    <row r="528" spans="1:12" s="281" customFormat="1" ht="120" x14ac:dyDescent="0.2">
      <c r="A528" s="75" t="s">
        <v>1927</v>
      </c>
      <c r="B528" s="455" t="s">
        <v>2877</v>
      </c>
      <c r="C528" s="483" t="s">
        <v>1872</v>
      </c>
      <c r="D528" s="583"/>
      <c r="E528" s="488" t="s">
        <v>1871</v>
      </c>
      <c r="F528" s="479" t="s">
        <v>1873</v>
      </c>
      <c r="G528" s="455" t="s">
        <v>638</v>
      </c>
      <c r="H528" s="284" t="s">
        <v>1527</v>
      </c>
      <c r="I528" s="279">
        <f>(2730925)/1000*$I$5</f>
        <v>2730.9250000000002</v>
      </c>
      <c r="J528" s="279">
        <f t="shared" si="14"/>
        <v>2730.9250000000002</v>
      </c>
      <c r="K528" s="479"/>
      <c r="L528" s="283"/>
    </row>
    <row r="529" spans="1:12" s="281" customFormat="1" ht="60" x14ac:dyDescent="0.2">
      <c r="A529" s="56" t="s">
        <v>1928</v>
      </c>
      <c r="B529" s="455" t="s">
        <v>2878</v>
      </c>
      <c r="C529" s="483" t="s">
        <v>1838</v>
      </c>
      <c r="D529" s="583"/>
      <c r="E529" s="488" t="s">
        <v>1856</v>
      </c>
      <c r="F529" s="479" t="s">
        <v>1874</v>
      </c>
      <c r="G529" s="455" t="s">
        <v>1875</v>
      </c>
      <c r="H529" s="284" t="s">
        <v>1636</v>
      </c>
      <c r="I529" s="279">
        <f>(38378)/1000*$I$5</f>
        <v>38.378</v>
      </c>
      <c r="J529" s="279">
        <f t="shared" si="14"/>
        <v>38.378</v>
      </c>
      <c r="K529" s="479"/>
      <c r="L529" s="283"/>
    </row>
    <row r="530" spans="1:12" s="281" customFormat="1" ht="60" x14ac:dyDescent="0.2">
      <c r="A530" s="75" t="s">
        <v>1929</v>
      </c>
      <c r="B530" s="455" t="s">
        <v>2879</v>
      </c>
      <c r="C530" s="483" t="s">
        <v>1838</v>
      </c>
      <c r="D530" s="583"/>
      <c r="E530" s="488" t="s">
        <v>1857</v>
      </c>
      <c r="F530" s="479" t="s">
        <v>2972</v>
      </c>
      <c r="G530" s="455" t="s">
        <v>1875</v>
      </c>
      <c r="H530" s="284" t="s">
        <v>1636</v>
      </c>
      <c r="I530" s="279">
        <f>(113567.42)/1000*$I$5</f>
        <v>113.56742</v>
      </c>
      <c r="J530" s="279">
        <f t="shared" si="14"/>
        <v>113.56742</v>
      </c>
      <c r="K530" s="479"/>
      <c r="L530" s="283"/>
    </row>
    <row r="531" spans="1:12" s="281" customFormat="1" ht="48" x14ac:dyDescent="0.2">
      <c r="A531" s="56" t="s">
        <v>1930</v>
      </c>
      <c r="B531" s="455" t="s">
        <v>2880</v>
      </c>
      <c r="C531" s="483" t="s">
        <v>1876</v>
      </c>
      <c r="D531" s="583"/>
      <c r="E531" s="488" t="s">
        <v>1858</v>
      </c>
      <c r="F531" s="479" t="s">
        <v>2973</v>
      </c>
      <c r="G531" s="455" t="s">
        <v>1526</v>
      </c>
      <c r="H531" s="284" t="s">
        <v>1527</v>
      </c>
      <c r="I531" s="279">
        <f>(560000)/1000*$I$5</f>
        <v>560</v>
      </c>
      <c r="J531" s="279">
        <f t="shared" si="14"/>
        <v>560</v>
      </c>
      <c r="K531" s="479"/>
      <c r="L531" s="283"/>
    </row>
    <row r="532" spans="1:12" s="281" customFormat="1" ht="84" x14ac:dyDescent="0.2">
      <c r="A532" s="75" t="s">
        <v>1931</v>
      </c>
      <c r="B532" s="455" t="s">
        <v>2881</v>
      </c>
      <c r="C532" s="483" t="s">
        <v>1877</v>
      </c>
      <c r="D532" s="583"/>
      <c r="E532" s="488" t="s">
        <v>1859</v>
      </c>
      <c r="F532" s="479" t="s">
        <v>1864</v>
      </c>
      <c r="G532" s="455" t="s">
        <v>1636</v>
      </c>
      <c r="H532" s="284" t="s">
        <v>1596</v>
      </c>
      <c r="I532" s="279">
        <f>(5214760)/1000*$I$5</f>
        <v>5214.76</v>
      </c>
      <c r="J532" s="279">
        <f t="shared" si="14"/>
        <v>5214.76</v>
      </c>
      <c r="K532" s="479"/>
      <c r="L532" s="283"/>
    </row>
    <row r="533" spans="1:12" s="281" customFormat="1" ht="84" x14ac:dyDescent="0.2">
      <c r="A533" s="56" t="s">
        <v>1932</v>
      </c>
      <c r="B533" s="455" t="s">
        <v>2882</v>
      </c>
      <c r="C533" s="483" t="s">
        <v>1879</v>
      </c>
      <c r="D533" s="583"/>
      <c r="E533" s="488" t="s">
        <v>1878</v>
      </c>
      <c r="F533" s="479" t="s">
        <v>1865</v>
      </c>
      <c r="G533" s="455" t="s">
        <v>1526</v>
      </c>
      <c r="H533" s="284" t="s">
        <v>1603</v>
      </c>
      <c r="I533" s="279">
        <f>(26900000)/1000*$I$5</f>
        <v>26900</v>
      </c>
      <c r="J533" s="279">
        <f t="shared" si="14"/>
        <v>26900</v>
      </c>
      <c r="K533" s="479"/>
      <c r="L533" s="283"/>
    </row>
    <row r="534" spans="1:12" s="281" customFormat="1" ht="108" x14ac:dyDescent="0.2">
      <c r="A534" s="75" t="s">
        <v>1933</v>
      </c>
      <c r="B534" s="455" t="s">
        <v>2883</v>
      </c>
      <c r="C534" s="483" t="s">
        <v>1880</v>
      </c>
      <c r="D534" s="583"/>
      <c r="E534" s="488" t="s">
        <v>1860</v>
      </c>
      <c r="F534" s="479" t="s">
        <v>1866</v>
      </c>
      <c r="G534" s="455" t="s">
        <v>1636</v>
      </c>
      <c r="H534" s="284" t="s">
        <v>1636</v>
      </c>
      <c r="I534" s="279">
        <f>(495580.5)/1000*$I$5</f>
        <v>495.58049999999997</v>
      </c>
      <c r="J534" s="279">
        <f t="shared" si="14"/>
        <v>495.58049999999997</v>
      </c>
      <c r="K534" s="479"/>
      <c r="L534" s="283"/>
    </row>
    <row r="535" spans="1:12" s="281" customFormat="1" ht="33.75" x14ac:dyDescent="0.2">
      <c r="A535" s="56" t="s">
        <v>1953</v>
      </c>
      <c r="B535" s="455" t="s">
        <v>2884</v>
      </c>
      <c r="C535" s="483" t="s">
        <v>1958</v>
      </c>
      <c r="D535" s="583"/>
      <c r="E535" s="488" t="s">
        <v>1956</v>
      </c>
      <c r="F535" s="479" t="s">
        <v>1955</v>
      </c>
      <c r="G535" s="455" t="s">
        <v>1596</v>
      </c>
      <c r="H535" s="284" t="s">
        <v>1596</v>
      </c>
      <c r="I535" s="279">
        <f>(412825.22)/1000*$I$5</f>
        <v>412.82521999999994</v>
      </c>
      <c r="J535" s="279">
        <f t="shared" si="14"/>
        <v>412.82521999999994</v>
      </c>
      <c r="K535" s="479"/>
      <c r="L535" s="283"/>
    </row>
    <row r="536" spans="1:12" s="281" customFormat="1" ht="72" x14ac:dyDescent="0.2">
      <c r="A536" s="75" t="s">
        <v>1954</v>
      </c>
      <c r="B536" s="455" t="s">
        <v>2885</v>
      </c>
      <c r="C536" s="483" t="s">
        <v>1877</v>
      </c>
      <c r="D536" s="583"/>
      <c r="E536" s="488" t="s">
        <v>1957</v>
      </c>
      <c r="F536" s="479" t="s">
        <v>1959</v>
      </c>
      <c r="G536" s="455" t="s">
        <v>1527</v>
      </c>
      <c r="H536" s="284" t="s">
        <v>1960</v>
      </c>
      <c r="I536" s="279">
        <f>(402351)/1000*$I$5</f>
        <v>402.351</v>
      </c>
      <c r="J536" s="279">
        <f t="shared" si="14"/>
        <v>402.351</v>
      </c>
      <c r="K536" s="479"/>
      <c r="L536" s="283"/>
    </row>
    <row r="537" spans="1:12" s="420" customFormat="1" ht="48" x14ac:dyDescent="0.2">
      <c r="A537" s="462"/>
      <c r="B537" s="463" t="s">
        <v>3260</v>
      </c>
      <c r="C537" s="457" t="s">
        <v>1838</v>
      </c>
      <c r="D537" s="583"/>
      <c r="E537" s="458" t="s">
        <v>3158</v>
      </c>
      <c r="F537" s="454" t="s">
        <v>3148</v>
      </c>
      <c r="G537" s="423" t="s">
        <v>3037</v>
      </c>
      <c r="H537" s="459" t="s">
        <v>2245</v>
      </c>
      <c r="I537" s="456">
        <f>(560000)/1000*$J$5</f>
        <v>560</v>
      </c>
      <c r="J537" s="456">
        <f>I537-(0)/1000*$J$5</f>
        <v>560</v>
      </c>
      <c r="K537" s="454"/>
      <c r="L537" s="460"/>
    </row>
    <row r="538" spans="1:12" s="420" customFormat="1" ht="68.25" customHeight="1" x14ac:dyDescent="0.2">
      <c r="A538" s="462"/>
      <c r="B538" s="463" t="s">
        <v>3261</v>
      </c>
      <c r="C538" s="457" t="s">
        <v>3157</v>
      </c>
      <c r="D538" s="583"/>
      <c r="E538" s="458" t="s">
        <v>3146</v>
      </c>
      <c r="F538" s="454" t="s">
        <v>3149</v>
      </c>
      <c r="G538" s="423" t="s">
        <v>1944</v>
      </c>
      <c r="H538" s="459" t="s">
        <v>3159</v>
      </c>
      <c r="I538" s="456">
        <f>(14000000)/1000*$J$5</f>
        <v>14000</v>
      </c>
      <c r="J538" s="456">
        <f>I538-(0)/1000*$J$5</f>
        <v>14000</v>
      </c>
      <c r="K538" s="454"/>
      <c r="L538" s="460"/>
    </row>
    <row r="539" spans="1:12" s="420" customFormat="1" ht="67.5" customHeight="1" x14ac:dyDescent="0.2">
      <c r="A539" s="462"/>
      <c r="B539" s="463" t="s">
        <v>3262</v>
      </c>
      <c r="C539" s="457" t="s">
        <v>3150</v>
      </c>
      <c r="D539" s="583"/>
      <c r="E539" s="458" t="s">
        <v>3147</v>
      </c>
      <c r="F539" s="454" t="s">
        <v>3160</v>
      </c>
      <c r="G539" s="423" t="s">
        <v>1743</v>
      </c>
      <c r="H539" s="459" t="s">
        <v>2989</v>
      </c>
      <c r="I539" s="456">
        <f>(24050000)/1000*$J$5</f>
        <v>24050</v>
      </c>
      <c r="J539" s="456">
        <f>I539-(8406349+1400000)/1000*$J$5</f>
        <v>14243.651</v>
      </c>
      <c r="K539" s="454"/>
      <c r="L539" s="460"/>
    </row>
    <row r="540" spans="1:12" s="420" customFormat="1" ht="84" x14ac:dyDescent="0.2">
      <c r="A540" s="462"/>
      <c r="B540" s="463" t="s">
        <v>3263</v>
      </c>
      <c r="C540" s="457"/>
      <c r="D540" s="583"/>
      <c r="E540" s="458" t="s">
        <v>3155</v>
      </c>
      <c r="F540" s="454" t="s">
        <v>3161</v>
      </c>
      <c r="G540" s="423" t="s">
        <v>2982</v>
      </c>
      <c r="H540" s="459" t="s">
        <v>2982</v>
      </c>
      <c r="I540" s="456">
        <f>(1958036)/1000*$J$5</f>
        <v>1958.0360000000001</v>
      </c>
      <c r="J540" s="456">
        <f>I540-(704457)/1000*$J$5</f>
        <v>1253.5790000000002</v>
      </c>
      <c r="K540" s="454"/>
      <c r="L540" s="460"/>
    </row>
    <row r="541" spans="1:12" s="420" customFormat="1" ht="57" customHeight="1" x14ac:dyDescent="0.2">
      <c r="A541" s="462"/>
      <c r="B541" s="463" t="s">
        <v>3264</v>
      </c>
      <c r="C541" s="457" t="s">
        <v>1838</v>
      </c>
      <c r="D541" s="583"/>
      <c r="E541" s="458" t="s">
        <v>3153</v>
      </c>
      <c r="F541" s="454" t="s">
        <v>3151</v>
      </c>
      <c r="G541" s="423" t="s">
        <v>1943</v>
      </c>
      <c r="H541" s="459" t="s">
        <v>2989</v>
      </c>
      <c r="I541" s="456">
        <f>(294555)/1000*$J$5</f>
        <v>294.55500000000001</v>
      </c>
      <c r="J541" s="456">
        <f>I541-(0)/1000*$J$5</f>
        <v>294.55500000000001</v>
      </c>
      <c r="K541" s="454"/>
      <c r="L541" s="460"/>
    </row>
    <row r="542" spans="1:12" s="420" customFormat="1" ht="48" x14ac:dyDescent="0.2">
      <c r="A542" s="462"/>
      <c r="B542" s="463" t="s">
        <v>3265</v>
      </c>
      <c r="C542" s="457" t="s">
        <v>3156</v>
      </c>
      <c r="D542" s="583"/>
      <c r="E542" s="458" t="s">
        <v>3154</v>
      </c>
      <c r="F542" s="454" t="s">
        <v>3152</v>
      </c>
      <c r="G542" s="423" t="s">
        <v>1943</v>
      </c>
      <c r="H542" s="459" t="s">
        <v>1943</v>
      </c>
      <c r="I542" s="456">
        <f>(245530)/1000*$J$5</f>
        <v>245.53</v>
      </c>
      <c r="J542" s="456">
        <f>I542-(0)/1000*$J$5</f>
        <v>245.53</v>
      </c>
      <c r="K542" s="454"/>
      <c r="L542" s="460"/>
    </row>
    <row r="543" spans="1:12" s="281" customFormat="1" ht="27.75" customHeight="1" x14ac:dyDescent="0.2">
      <c r="A543" s="412" t="s">
        <v>1936</v>
      </c>
      <c r="B543" s="455" t="s">
        <v>2886</v>
      </c>
      <c r="C543" s="483" t="s">
        <v>1883</v>
      </c>
      <c r="D543" s="629" t="s">
        <v>1882</v>
      </c>
      <c r="E543" s="488"/>
      <c r="F543" s="479"/>
      <c r="G543" s="455"/>
      <c r="H543" s="284"/>
      <c r="I543" s="279">
        <f t="shared" ref="I543:I553" si="15">(0)/1000*$I$5</f>
        <v>0</v>
      </c>
      <c r="J543" s="279">
        <f t="shared" si="14"/>
        <v>0</v>
      </c>
      <c r="K543" s="479"/>
      <c r="L543" s="283"/>
    </row>
    <row r="544" spans="1:12" s="281" customFormat="1" ht="48" x14ac:dyDescent="0.2">
      <c r="A544" s="412"/>
      <c r="B544" s="455" t="s">
        <v>2887</v>
      </c>
      <c r="C544" s="483" t="s">
        <v>1934</v>
      </c>
      <c r="D544" s="630"/>
      <c r="E544" s="488" t="s">
        <v>1935</v>
      </c>
      <c r="F544" s="479" t="s">
        <v>1881</v>
      </c>
      <c r="G544" s="455" t="s">
        <v>1554</v>
      </c>
      <c r="H544" s="284" t="s">
        <v>1554</v>
      </c>
      <c r="I544" s="279">
        <f>(350830)/1000*$I$5</f>
        <v>350.83</v>
      </c>
      <c r="J544" s="279">
        <f t="shared" si="14"/>
        <v>350.83</v>
      </c>
      <c r="K544" s="479"/>
      <c r="L544" s="283"/>
    </row>
    <row r="545" spans="1:13" s="281" customFormat="1" ht="69" customHeight="1" x14ac:dyDescent="0.2">
      <c r="A545" s="412"/>
      <c r="B545" s="455" t="s">
        <v>2888</v>
      </c>
      <c r="C545" s="483" t="s">
        <v>1940</v>
      </c>
      <c r="D545" s="324"/>
      <c r="E545" s="488" t="s">
        <v>1941</v>
      </c>
      <c r="F545" s="479" t="s">
        <v>1937</v>
      </c>
      <c r="G545" s="455" t="s">
        <v>1875</v>
      </c>
      <c r="H545" s="284" t="s">
        <v>2989</v>
      </c>
      <c r="I545" s="456">
        <f>(40327044.77)/1000*$I$5</f>
        <v>40327.04477</v>
      </c>
      <c r="J545" s="279">
        <f>I545-(7007965+3186292)/1000*$I$5</f>
        <v>30132.787770000003</v>
      </c>
      <c r="K545" s="479"/>
      <c r="L545" s="283"/>
    </row>
    <row r="546" spans="1:13" s="420" customFormat="1" ht="72.75" customHeight="1" x14ac:dyDescent="0.2">
      <c r="A546" s="429"/>
      <c r="B546" s="461" t="s">
        <v>3144</v>
      </c>
      <c r="C546" s="457"/>
      <c r="D546" s="415"/>
      <c r="E546" s="458"/>
      <c r="F546" s="454" t="s">
        <v>3145</v>
      </c>
      <c r="G546" s="423" t="s">
        <v>2104</v>
      </c>
      <c r="H546" s="459" t="s">
        <v>3023</v>
      </c>
      <c r="I546" s="456">
        <f>(13946680.56)/1000*$J$5</f>
        <v>13946.680560000001</v>
      </c>
      <c r="J546" s="456">
        <f>I546-(0)/1000*$J$5</f>
        <v>13946.680560000001</v>
      </c>
      <c r="K546" s="454"/>
      <c r="L546" s="460"/>
    </row>
    <row r="547" spans="1:13" s="281" customFormat="1" ht="79.5" customHeight="1" x14ac:dyDescent="0.2">
      <c r="A547" s="412"/>
      <c r="B547" s="455" t="s">
        <v>2889</v>
      </c>
      <c r="C547" s="483" t="s">
        <v>1939</v>
      </c>
      <c r="D547" s="480"/>
      <c r="E547" s="488" t="s">
        <v>1942</v>
      </c>
      <c r="F547" s="479" t="s">
        <v>1938</v>
      </c>
      <c r="G547" s="455" t="s">
        <v>1643</v>
      </c>
      <c r="H547" s="284" t="s">
        <v>1944</v>
      </c>
      <c r="I547" s="279">
        <f>(54199239.44)/1000*$I$5</f>
        <v>54199.239439999998</v>
      </c>
      <c r="J547" s="279">
        <f>I547-(11063399)/1000*$I$5-5732165/1000*$J$5</f>
        <v>37403.675439999999</v>
      </c>
      <c r="K547" s="479"/>
      <c r="L547" s="283"/>
    </row>
    <row r="548" spans="1:13" s="420" customFormat="1" hidden="1" x14ac:dyDescent="0.2">
      <c r="A548" s="429"/>
      <c r="B548" s="423" t="s">
        <v>2890</v>
      </c>
      <c r="C548" s="457" t="s">
        <v>1762</v>
      </c>
      <c r="D548" s="497"/>
      <c r="E548" s="458"/>
      <c r="F548" s="454"/>
      <c r="G548" s="423"/>
      <c r="H548" s="459"/>
      <c r="I548" s="456">
        <f t="shared" si="15"/>
        <v>0</v>
      </c>
      <c r="J548" s="456">
        <f t="shared" si="14"/>
        <v>0</v>
      </c>
      <c r="K548" s="454"/>
      <c r="L548" s="460"/>
    </row>
    <row r="549" spans="1:13" s="281" customFormat="1" hidden="1" x14ac:dyDescent="0.2">
      <c r="A549" s="412"/>
      <c r="B549" s="455" t="s">
        <v>2891</v>
      </c>
      <c r="C549" s="483" t="s">
        <v>1762</v>
      </c>
      <c r="D549" s="480"/>
      <c r="E549" s="488"/>
      <c r="F549" s="479"/>
      <c r="G549" s="455"/>
      <c r="H549" s="284"/>
      <c r="I549" s="279">
        <f t="shared" si="15"/>
        <v>0</v>
      </c>
      <c r="J549" s="279">
        <f t="shared" si="14"/>
        <v>0</v>
      </c>
      <c r="K549" s="479"/>
      <c r="L549" s="283"/>
    </row>
    <row r="550" spans="1:13" s="281" customFormat="1" hidden="1" x14ac:dyDescent="0.2">
      <c r="A550" s="412"/>
      <c r="B550" s="455" t="s">
        <v>2892</v>
      </c>
      <c r="C550" s="483" t="s">
        <v>1762</v>
      </c>
      <c r="D550" s="480"/>
      <c r="E550" s="488"/>
      <c r="F550" s="479"/>
      <c r="G550" s="455"/>
      <c r="H550" s="284"/>
      <c r="I550" s="279">
        <f t="shared" si="15"/>
        <v>0</v>
      </c>
      <c r="J550" s="279">
        <f t="shared" si="14"/>
        <v>0</v>
      </c>
      <c r="K550" s="479"/>
      <c r="L550" s="283"/>
    </row>
    <row r="551" spans="1:13" s="281" customFormat="1" hidden="1" x14ac:dyDescent="0.2">
      <c r="A551" s="412"/>
      <c r="B551" s="455" t="s">
        <v>2893</v>
      </c>
      <c r="C551" s="483" t="s">
        <v>1762</v>
      </c>
      <c r="D551" s="480"/>
      <c r="E551" s="488"/>
      <c r="F551" s="479"/>
      <c r="G551" s="455"/>
      <c r="H551" s="284"/>
      <c r="I551" s="279">
        <f t="shared" si="15"/>
        <v>0</v>
      </c>
      <c r="J551" s="279">
        <f t="shared" si="14"/>
        <v>0</v>
      </c>
      <c r="K551" s="479"/>
      <c r="L551" s="283"/>
    </row>
    <row r="552" spans="1:13" s="281" customFormat="1" hidden="1" x14ac:dyDescent="0.2">
      <c r="A552" s="412"/>
      <c r="B552" s="455" t="s">
        <v>2894</v>
      </c>
      <c r="C552" s="483" t="s">
        <v>1762</v>
      </c>
      <c r="D552" s="480"/>
      <c r="E552" s="488"/>
      <c r="F552" s="479"/>
      <c r="G552" s="455"/>
      <c r="H552" s="284"/>
      <c r="I552" s="279">
        <f t="shared" si="15"/>
        <v>0</v>
      </c>
      <c r="J552" s="279">
        <f t="shared" si="14"/>
        <v>0</v>
      </c>
      <c r="K552" s="479"/>
      <c r="L552" s="283"/>
    </row>
    <row r="553" spans="1:13" s="281" customFormat="1" hidden="1" x14ac:dyDescent="0.2">
      <c r="A553" s="412"/>
      <c r="B553" s="455" t="s">
        <v>2895</v>
      </c>
      <c r="C553" s="483" t="s">
        <v>1762</v>
      </c>
      <c r="D553" s="480"/>
      <c r="E553" s="488"/>
      <c r="F553" s="479"/>
      <c r="G553" s="455"/>
      <c r="H553" s="284"/>
      <c r="I553" s="279">
        <f t="shared" si="15"/>
        <v>0</v>
      </c>
      <c r="J553" s="279">
        <f t="shared" si="14"/>
        <v>0</v>
      </c>
      <c r="K553" s="479"/>
      <c r="L553" s="283"/>
    </row>
    <row r="554" spans="1:13" ht="96" x14ac:dyDescent="0.2">
      <c r="A554" s="75" t="s">
        <v>1434</v>
      </c>
      <c r="B554" s="455" t="s">
        <v>2896</v>
      </c>
      <c r="C554" s="4" t="s">
        <v>1946</v>
      </c>
      <c r="D554" s="131" t="s">
        <v>1441</v>
      </c>
      <c r="E554" s="183" t="s">
        <v>628</v>
      </c>
      <c r="F554" s="131" t="s">
        <v>1442</v>
      </c>
      <c r="G554" s="77" t="s">
        <v>86</v>
      </c>
      <c r="H554" s="77" t="s">
        <v>91</v>
      </c>
      <c r="I554" s="195">
        <f>(2720619)/1000*$I$5</f>
        <v>2720.6190000000001</v>
      </c>
      <c r="J554" s="195">
        <f t="shared" si="14"/>
        <v>2720.6190000000001</v>
      </c>
      <c r="K554" s="66" t="s">
        <v>793</v>
      </c>
      <c r="L554" s="78"/>
      <c r="M554" s="60" t="s">
        <v>628</v>
      </c>
    </row>
    <row r="555" spans="1:13" ht="120" x14ac:dyDescent="0.2">
      <c r="A555" s="75" t="s">
        <v>1435</v>
      </c>
      <c r="B555" s="455" t="s">
        <v>2897</v>
      </c>
      <c r="C555" s="469" t="s">
        <v>1945</v>
      </c>
      <c r="D555" s="131" t="s">
        <v>1444</v>
      </c>
      <c r="E555" s="183" t="s">
        <v>1948</v>
      </c>
      <c r="F555" s="131" t="s">
        <v>1443</v>
      </c>
      <c r="G555" s="77" t="s">
        <v>22</v>
      </c>
      <c r="H555" s="77" t="s">
        <v>18</v>
      </c>
      <c r="I555" s="193">
        <f>(10550707)/1000*$I$5</f>
        <v>10550.707</v>
      </c>
      <c r="J555" s="193">
        <f t="shared" si="14"/>
        <v>10550.707</v>
      </c>
      <c r="K555" s="66" t="s">
        <v>639</v>
      </c>
      <c r="L555" s="78"/>
    </row>
    <row r="556" spans="1:13" s="281" customFormat="1" ht="130.5" customHeight="1" x14ac:dyDescent="0.2">
      <c r="A556" s="412" t="s">
        <v>1947</v>
      </c>
      <c r="B556" s="455" t="s">
        <v>2898</v>
      </c>
      <c r="C556" s="481" t="s">
        <v>1951</v>
      </c>
      <c r="D556" s="299" t="s">
        <v>1952</v>
      </c>
      <c r="E556" s="488" t="s">
        <v>1949</v>
      </c>
      <c r="F556" s="299" t="s">
        <v>1950</v>
      </c>
      <c r="G556" s="300" t="s">
        <v>1522</v>
      </c>
      <c r="H556" s="300" t="s">
        <v>1596</v>
      </c>
      <c r="I556" s="314">
        <f>(9020467.54)/1000*$I$5</f>
        <v>9020.4675399999996</v>
      </c>
      <c r="J556" s="314">
        <f t="shared" si="14"/>
        <v>9020.4675399999996</v>
      </c>
      <c r="K556" s="299"/>
      <c r="L556" s="303"/>
    </row>
    <row r="557" spans="1:13" ht="84" x14ac:dyDescent="0.2">
      <c r="A557" s="75" t="s">
        <v>1445</v>
      </c>
      <c r="B557" s="300" t="s">
        <v>2899</v>
      </c>
      <c r="C557" s="469" t="s">
        <v>1446</v>
      </c>
      <c r="D557" s="131" t="s">
        <v>1447</v>
      </c>
      <c r="E557" s="183" t="s">
        <v>618</v>
      </c>
      <c r="F557" s="131" t="s">
        <v>1448</v>
      </c>
      <c r="G557" s="77" t="s">
        <v>93</v>
      </c>
      <c r="H557" s="77" t="s">
        <v>9</v>
      </c>
      <c r="I557" s="193">
        <f>(5002224)/1000*$I$5</f>
        <v>5002.2240000000002</v>
      </c>
      <c r="J557" s="193">
        <f t="shared" si="14"/>
        <v>5002.2240000000002</v>
      </c>
      <c r="K557" s="66" t="s">
        <v>617</v>
      </c>
      <c r="L557" s="78"/>
      <c r="M557" s="60" t="s">
        <v>618</v>
      </c>
    </row>
    <row r="558" spans="1:13" ht="60" customHeight="1" x14ac:dyDescent="0.2">
      <c r="A558" s="56" t="s">
        <v>1451</v>
      </c>
      <c r="B558" s="455" t="s">
        <v>2900</v>
      </c>
      <c r="C558" s="607" t="s">
        <v>794</v>
      </c>
      <c r="D558" s="607" t="s">
        <v>1453</v>
      </c>
      <c r="E558" s="183" t="s">
        <v>1449</v>
      </c>
      <c r="F558" s="131" t="s">
        <v>1454</v>
      </c>
      <c r="G558" s="77" t="s">
        <v>177</v>
      </c>
      <c r="H558" s="77" t="s">
        <v>179</v>
      </c>
      <c r="I558" s="193">
        <f>(6175000)/1000*$I$5</f>
        <v>6175</v>
      </c>
      <c r="J558" s="193">
        <f t="shared" si="14"/>
        <v>6175</v>
      </c>
      <c r="K558" s="66" t="s">
        <v>549</v>
      </c>
      <c r="L558" s="78"/>
      <c r="M558" s="248" t="s">
        <v>550</v>
      </c>
    </row>
    <row r="559" spans="1:13" ht="72" x14ac:dyDescent="0.2">
      <c r="A559" s="56" t="s">
        <v>1452</v>
      </c>
      <c r="B559" s="455" t="s">
        <v>2901</v>
      </c>
      <c r="C559" s="628"/>
      <c r="D559" s="628"/>
      <c r="E559" s="183" t="s">
        <v>1450</v>
      </c>
      <c r="F559" s="131" t="s">
        <v>1455</v>
      </c>
      <c r="G559" s="77" t="s">
        <v>177</v>
      </c>
      <c r="H559" s="77" t="s">
        <v>8</v>
      </c>
      <c r="I559" s="193">
        <f>(2850000)/1000*$I$5</f>
        <v>2850</v>
      </c>
      <c r="J559" s="193">
        <f t="shared" si="14"/>
        <v>2850</v>
      </c>
      <c r="K559" s="66"/>
      <c r="L559" s="78"/>
      <c r="M559" s="248"/>
    </row>
    <row r="560" spans="1:13" ht="107.25" customHeight="1" x14ac:dyDescent="0.2">
      <c r="A560" s="56" t="s">
        <v>1458</v>
      </c>
      <c r="B560" s="455" t="s">
        <v>2902</v>
      </c>
      <c r="C560" s="607" t="s">
        <v>798</v>
      </c>
      <c r="D560" s="131" t="s">
        <v>1456</v>
      </c>
      <c r="E560" s="183" t="s">
        <v>1038</v>
      </c>
      <c r="F560" s="131" t="s">
        <v>1457</v>
      </c>
      <c r="G560" s="77" t="s">
        <v>410</v>
      </c>
      <c r="H560" s="77" t="s">
        <v>127</v>
      </c>
      <c r="I560" s="193">
        <f>(2130356+1597705)/1000*$I$5</f>
        <v>3728.0610000000001</v>
      </c>
      <c r="J560" s="193">
        <f t="shared" si="14"/>
        <v>3728.0610000000001</v>
      </c>
      <c r="K560" s="66" t="s">
        <v>553</v>
      </c>
      <c r="L560" s="78"/>
    </row>
    <row r="561" spans="1:13" ht="72" x14ac:dyDescent="0.2">
      <c r="A561" s="56" t="s">
        <v>1459</v>
      </c>
      <c r="B561" s="455" t="s">
        <v>2903</v>
      </c>
      <c r="C561" s="608"/>
      <c r="D561" s="626" t="s">
        <v>554</v>
      </c>
      <c r="E561" s="272" t="s">
        <v>1460</v>
      </c>
      <c r="F561" s="475" t="s">
        <v>1475</v>
      </c>
      <c r="G561" s="187" t="s">
        <v>49</v>
      </c>
      <c r="H561" s="187" t="s">
        <v>78</v>
      </c>
      <c r="I561" s="188">
        <f>(946726)/1000*$I$5</f>
        <v>946.726</v>
      </c>
      <c r="J561" s="188">
        <f t="shared" si="14"/>
        <v>946.726</v>
      </c>
      <c r="K561" s="472" t="s">
        <v>564</v>
      </c>
      <c r="L561" s="59"/>
      <c r="M561" s="248" t="s">
        <v>563</v>
      </c>
    </row>
    <row r="562" spans="1:13" ht="48" x14ac:dyDescent="0.2">
      <c r="A562" s="56" t="s">
        <v>1462</v>
      </c>
      <c r="B562" s="455" t="s">
        <v>2904</v>
      </c>
      <c r="C562" s="608"/>
      <c r="D562" s="617"/>
      <c r="E562" s="272" t="s">
        <v>1461</v>
      </c>
      <c r="F562" s="475" t="s">
        <v>1465</v>
      </c>
      <c r="G562" s="187" t="s">
        <v>124</v>
      </c>
      <c r="H562" s="187" t="s">
        <v>54</v>
      </c>
      <c r="I562" s="188">
        <f>(686086)/1000*$I$5</f>
        <v>686.08600000000001</v>
      </c>
      <c r="J562" s="188">
        <f t="shared" si="14"/>
        <v>686.08600000000001</v>
      </c>
      <c r="K562" s="472"/>
      <c r="L562" s="59"/>
      <c r="M562" s="248"/>
    </row>
    <row r="563" spans="1:13" ht="48" x14ac:dyDescent="0.2">
      <c r="A563" s="56" t="s">
        <v>1463</v>
      </c>
      <c r="B563" s="455" t="s">
        <v>2905</v>
      </c>
      <c r="C563" s="608"/>
      <c r="D563" s="617"/>
      <c r="E563" s="272" t="s">
        <v>620</v>
      </c>
      <c r="F563" s="475" t="s">
        <v>1466</v>
      </c>
      <c r="G563" s="187" t="s">
        <v>4</v>
      </c>
      <c r="H563" s="187" t="s">
        <v>5</v>
      </c>
      <c r="I563" s="188">
        <f>(740000+867118)/1000*$I$5</f>
        <v>1607.1179999999999</v>
      </c>
      <c r="J563" s="188">
        <f t="shared" si="14"/>
        <v>1607.1179999999999</v>
      </c>
      <c r="K563" s="472" t="s">
        <v>565</v>
      </c>
      <c r="L563" s="59"/>
      <c r="M563" s="248" t="s">
        <v>620</v>
      </c>
    </row>
    <row r="564" spans="1:13" ht="48" x14ac:dyDescent="0.2">
      <c r="A564" s="56" t="s">
        <v>1464</v>
      </c>
      <c r="B564" s="455" t="s">
        <v>2906</v>
      </c>
      <c r="C564" s="608"/>
      <c r="D564" s="617"/>
      <c r="E564" s="272" t="s">
        <v>621</v>
      </c>
      <c r="F564" s="475" t="s">
        <v>1467</v>
      </c>
      <c r="G564" s="187" t="s">
        <v>137</v>
      </c>
      <c r="H564" s="187" t="s">
        <v>9</v>
      </c>
      <c r="I564" s="188">
        <f>(1509648+1083366)/1000*$I$5</f>
        <v>2593.0140000000001</v>
      </c>
      <c r="J564" s="188">
        <f t="shared" si="14"/>
        <v>2593.0140000000001</v>
      </c>
      <c r="K564" s="472" t="s">
        <v>565</v>
      </c>
      <c r="L564" s="59"/>
      <c r="M564" s="248" t="s">
        <v>621</v>
      </c>
    </row>
    <row r="565" spans="1:13" ht="48" x14ac:dyDescent="0.2">
      <c r="A565" s="56" t="s">
        <v>1472</v>
      </c>
      <c r="B565" s="455" t="s">
        <v>2907</v>
      </c>
      <c r="C565" s="608"/>
      <c r="D565" s="617"/>
      <c r="E565" s="272" t="s">
        <v>623</v>
      </c>
      <c r="F565" s="475" t="s">
        <v>1468</v>
      </c>
      <c r="G565" s="187" t="s">
        <v>508</v>
      </c>
      <c r="H565" s="187" t="s">
        <v>16</v>
      </c>
      <c r="I565" s="188">
        <f>(4608712+1700000)/1000*$I$5</f>
        <v>6308.7120000000004</v>
      </c>
      <c r="J565" s="188">
        <f t="shared" si="14"/>
        <v>6308.7120000000004</v>
      </c>
      <c r="K565" s="472" t="s">
        <v>565</v>
      </c>
      <c r="L565" s="59"/>
      <c r="M565" s="248" t="s">
        <v>623</v>
      </c>
    </row>
    <row r="566" spans="1:13" ht="72" x14ac:dyDescent="0.2">
      <c r="A566" s="56" t="s">
        <v>1473</v>
      </c>
      <c r="B566" s="455" t="s">
        <v>2908</v>
      </c>
      <c r="C566" s="608"/>
      <c r="D566" s="617"/>
      <c r="E566" s="272" t="s">
        <v>624</v>
      </c>
      <c r="F566" s="472" t="s">
        <v>1469</v>
      </c>
      <c r="G566" s="187" t="s">
        <v>61</v>
      </c>
      <c r="H566" s="187" t="s">
        <v>103</v>
      </c>
      <c r="I566" s="188">
        <f>(1330000)/1000*$I$5</f>
        <v>1330</v>
      </c>
      <c r="J566" s="188">
        <f t="shared" si="14"/>
        <v>1330</v>
      </c>
      <c r="K566" s="472" t="s">
        <v>756</v>
      </c>
      <c r="L566" s="59"/>
      <c r="M566" s="60" t="s">
        <v>624</v>
      </c>
    </row>
    <row r="567" spans="1:13" s="281" customFormat="1" ht="27.75" customHeight="1" x14ac:dyDescent="0.2">
      <c r="A567" s="455"/>
      <c r="B567" s="455" t="s">
        <v>2909</v>
      </c>
      <c r="C567" s="608"/>
      <c r="D567" s="617"/>
      <c r="E567" s="344" t="s">
        <v>2167</v>
      </c>
      <c r="F567" s="479" t="s">
        <v>2169</v>
      </c>
      <c r="G567" s="455" t="s">
        <v>63</v>
      </c>
      <c r="H567" s="455" t="s">
        <v>63</v>
      </c>
      <c r="I567" s="279">
        <f>(1330000)/1000*$I$5</f>
        <v>1330</v>
      </c>
      <c r="J567" s="279">
        <f t="shared" ref="J567:J572" si="16">I567-(0)/1000*$I$5</f>
        <v>1330</v>
      </c>
      <c r="K567" s="479" t="s">
        <v>2169</v>
      </c>
      <c r="L567" s="283"/>
    </row>
    <row r="568" spans="1:13" s="281" customFormat="1" ht="30" customHeight="1" x14ac:dyDescent="0.2">
      <c r="A568" s="455"/>
      <c r="B568" s="455" t="s">
        <v>2910</v>
      </c>
      <c r="C568" s="608"/>
      <c r="D568" s="617"/>
      <c r="E568" s="344" t="s">
        <v>2168</v>
      </c>
      <c r="F568" s="479" t="s">
        <v>2170</v>
      </c>
      <c r="G568" s="455" t="s">
        <v>15</v>
      </c>
      <c r="H568" s="455" t="s">
        <v>1559</v>
      </c>
      <c r="I568" s="279">
        <f>(1280000)/1000*$I$5</f>
        <v>1280</v>
      </c>
      <c r="J568" s="279">
        <f t="shared" si="16"/>
        <v>1280</v>
      </c>
      <c r="K568" s="479" t="s">
        <v>2170</v>
      </c>
      <c r="L568" s="283"/>
    </row>
    <row r="569" spans="1:13" s="281" customFormat="1" ht="48" x14ac:dyDescent="0.2">
      <c r="A569" s="455"/>
      <c r="B569" s="455" t="s">
        <v>2911</v>
      </c>
      <c r="C569" s="608"/>
      <c r="D569" s="617"/>
      <c r="E569" s="344" t="s">
        <v>2184</v>
      </c>
      <c r="F569" s="479" t="s">
        <v>2185</v>
      </c>
      <c r="G569" s="455" t="s">
        <v>610</v>
      </c>
      <c r="H569" s="455" t="s">
        <v>1721</v>
      </c>
      <c r="I569" s="279">
        <f>(180000)/1000*$I$5</f>
        <v>180</v>
      </c>
      <c r="J569" s="279">
        <f t="shared" si="16"/>
        <v>180</v>
      </c>
      <c r="K569" s="479" t="s">
        <v>2186</v>
      </c>
      <c r="L569" s="283"/>
    </row>
    <row r="570" spans="1:13" s="281" customFormat="1" ht="36" x14ac:dyDescent="0.2">
      <c r="A570" s="455"/>
      <c r="B570" s="455" t="s">
        <v>2912</v>
      </c>
      <c r="C570" s="608"/>
      <c r="D570" s="617"/>
      <c r="E570" s="344" t="s">
        <v>2189</v>
      </c>
      <c r="F570" s="479" t="s">
        <v>2191</v>
      </c>
      <c r="G570" s="455" t="s">
        <v>1721</v>
      </c>
      <c r="H570" s="455" t="s">
        <v>1520</v>
      </c>
      <c r="I570" s="456">
        <f>(1171280.24-281028.34)/1000*$I$5</f>
        <v>890.25189999999986</v>
      </c>
      <c r="J570" s="456">
        <f t="shared" si="16"/>
        <v>890.25189999999986</v>
      </c>
      <c r="K570" s="479" t="s">
        <v>2187</v>
      </c>
      <c r="L570" s="283"/>
    </row>
    <row r="571" spans="1:13" s="281" customFormat="1" ht="36" x14ac:dyDescent="0.2">
      <c r="A571" s="455"/>
      <c r="B571" s="455" t="s">
        <v>2913</v>
      </c>
      <c r="C571" s="608"/>
      <c r="D571" s="617"/>
      <c r="E571" s="344" t="s">
        <v>2188</v>
      </c>
      <c r="F571" s="479" t="s">
        <v>2190</v>
      </c>
      <c r="G571" s="455" t="s">
        <v>1591</v>
      </c>
      <c r="H571" s="455" t="s">
        <v>1522</v>
      </c>
      <c r="I571" s="279">
        <f>(1303585)/1000*$I$5</f>
        <v>1303.585</v>
      </c>
      <c r="J571" s="279">
        <f t="shared" si="16"/>
        <v>1303.585</v>
      </c>
      <c r="K571" s="479" t="s">
        <v>2187</v>
      </c>
      <c r="L571" s="283"/>
    </row>
    <row r="572" spans="1:13" s="281" customFormat="1" ht="36" x14ac:dyDescent="0.2">
      <c r="A572" s="455"/>
      <c r="B572" s="455" t="s">
        <v>2914</v>
      </c>
      <c r="C572" s="608"/>
      <c r="D572" s="617"/>
      <c r="E572" s="344" t="s">
        <v>2192</v>
      </c>
      <c r="F572" s="479" t="s">
        <v>2193</v>
      </c>
      <c r="G572" s="455" t="s">
        <v>1579</v>
      </c>
      <c r="H572" s="455" t="s">
        <v>638</v>
      </c>
      <c r="I572" s="279">
        <f>(730040)/1000*$I$5</f>
        <v>730.04</v>
      </c>
      <c r="J572" s="279">
        <f t="shared" si="16"/>
        <v>730.04</v>
      </c>
      <c r="K572" s="479" t="s">
        <v>2193</v>
      </c>
      <c r="L572" s="283"/>
    </row>
    <row r="573" spans="1:13" s="420" customFormat="1" ht="48" x14ac:dyDescent="0.2">
      <c r="A573" s="423"/>
      <c r="B573" s="423" t="s">
        <v>3205</v>
      </c>
      <c r="C573" s="628"/>
      <c r="D573" s="500"/>
      <c r="E573" s="501" t="s">
        <v>3206</v>
      </c>
      <c r="F573" s="454" t="s">
        <v>3207</v>
      </c>
      <c r="G573" s="423" t="s">
        <v>3086</v>
      </c>
      <c r="H573" s="423" t="s">
        <v>1943</v>
      </c>
      <c r="I573" s="456">
        <f>(73572.3)/1000*$J$5</f>
        <v>73.572299999999998</v>
      </c>
      <c r="J573" s="456">
        <f>I573-(0)/1000*$J$5</f>
        <v>73.572299999999998</v>
      </c>
      <c r="K573" s="454"/>
      <c r="L573" s="460"/>
    </row>
    <row r="574" spans="1:13" s="281" customFormat="1" ht="108" x14ac:dyDescent="0.2">
      <c r="A574" s="455"/>
      <c r="B574" s="455" t="s">
        <v>2915</v>
      </c>
      <c r="C574" s="632" t="s">
        <v>2443</v>
      </c>
      <c r="D574" s="386" t="s">
        <v>2441</v>
      </c>
      <c r="E574" s="387" t="s">
        <v>2442</v>
      </c>
      <c r="F574" s="299" t="s">
        <v>2440</v>
      </c>
      <c r="G574" s="300" t="s">
        <v>1636</v>
      </c>
      <c r="H574" s="300" t="s">
        <v>1743</v>
      </c>
      <c r="I574" s="301">
        <f>(44416464.29)/1000*$I$5</f>
        <v>44416.464289999996</v>
      </c>
      <c r="J574" s="301">
        <f>I574-(563141)/1000*$I$5</f>
        <v>43853.323289999993</v>
      </c>
      <c r="K574" s="479" t="s">
        <v>2444</v>
      </c>
      <c r="L574" s="283"/>
    </row>
    <row r="575" spans="1:13" s="281" customFormat="1" ht="120" x14ac:dyDescent="0.2">
      <c r="A575" s="455"/>
      <c r="B575" s="455" t="s">
        <v>2916</v>
      </c>
      <c r="C575" s="633"/>
      <c r="D575" s="386" t="s">
        <v>2539</v>
      </c>
      <c r="E575" s="387" t="s">
        <v>2540</v>
      </c>
      <c r="F575" s="299" t="s">
        <v>2538</v>
      </c>
      <c r="G575" s="300" t="s">
        <v>1603</v>
      </c>
      <c r="H575" s="300" t="s">
        <v>2245</v>
      </c>
      <c r="I575" s="301">
        <f>(6100000)/1000*$I$5</f>
        <v>6100</v>
      </c>
      <c r="J575" s="301">
        <f>I575-(1438763+430000)/1000*$I$5</f>
        <v>4231.2370000000001</v>
      </c>
      <c r="K575" s="479" t="s">
        <v>2444</v>
      </c>
      <c r="L575" s="283"/>
    </row>
    <row r="576" spans="1:13" s="281" customFormat="1" ht="132" x14ac:dyDescent="0.2">
      <c r="A576" s="455"/>
      <c r="B576" s="455" t="s">
        <v>2917</v>
      </c>
      <c r="C576" s="481" t="s">
        <v>2462</v>
      </c>
      <c r="D576" s="343" t="s">
        <v>2468</v>
      </c>
      <c r="E576" s="344" t="s">
        <v>2461</v>
      </c>
      <c r="F576" s="479" t="s">
        <v>2459</v>
      </c>
      <c r="G576" s="455" t="s">
        <v>1614</v>
      </c>
      <c r="H576" s="455" t="s">
        <v>1526</v>
      </c>
      <c r="I576" s="279">
        <f>(2003762)/1000*$I$5</f>
        <v>2003.7619999999999</v>
      </c>
      <c r="J576" s="279">
        <f t="shared" ref="J576:J583" si="17">I576-(0)/1000*$I$5</f>
        <v>2003.7619999999999</v>
      </c>
      <c r="K576" s="479" t="s">
        <v>2460</v>
      </c>
      <c r="L576" s="283"/>
    </row>
    <row r="577" spans="1:13" s="281" customFormat="1" ht="132" x14ac:dyDescent="0.2">
      <c r="A577" s="455"/>
      <c r="B577" s="455" t="s">
        <v>2918</v>
      </c>
      <c r="C577" s="481" t="s">
        <v>2974</v>
      </c>
      <c r="D577" s="286" t="s">
        <v>2975</v>
      </c>
      <c r="E577" s="344" t="s">
        <v>2470</v>
      </c>
      <c r="F577" s="479" t="s">
        <v>2469</v>
      </c>
      <c r="G577" s="455" t="s">
        <v>1526</v>
      </c>
      <c r="H577" s="455" t="s">
        <v>1527</v>
      </c>
      <c r="I577" s="279">
        <f>(456093)/1000*$I$5</f>
        <v>456.09300000000002</v>
      </c>
      <c r="J577" s="279">
        <f t="shared" si="17"/>
        <v>456.09300000000002</v>
      </c>
      <c r="K577" s="479" t="s">
        <v>2460</v>
      </c>
      <c r="L577" s="283"/>
    </row>
    <row r="578" spans="1:13" s="281" customFormat="1" ht="120" x14ac:dyDescent="0.2">
      <c r="A578" s="455"/>
      <c r="B578" s="300" t="s">
        <v>2919</v>
      </c>
      <c r="C578" s="484" t="s">
        <v>2473</v>
      </c>
      <c r="D578" s="386" t="s">
        <v>2474</v>
      </c>
      <c r="E578" s="387" t="s">
        <v>2475</v>
      </c>
      <c r="F578" s="299" t="s">
        <v>2472</v>
      </c>
      <c r="G578" s="300" t="s">
        <v>1635</v>
      </c>
      <c r="H578" s="300" t="s">
        <v>1875</v>
      </c>
      <c r="I578" s="301">
        <f>(452377)/1000*$I$5</f>
        <v>452.37700000000001</v>
      </c>
      <c r="J578" s="301">
        <f t="shared" si="17"/>
        <v>452.37700000000001</v>
      </c>
      <c r="K578" s="479" t="s">
        <v>2471</v>
      </c>
      <c r="L578" s="283"/>
    </row>
    <row r="579" spans="1:13" s="281" customFormat="1" ht="96" x14ac:dyDescent="0.2">
      <c r="A579" s="455"/>
      <c r="B579" s="300" t="s">
        <v>2920</v>
      </c>
      <c r="C579" s="484" t="s">
        <v>2476</v>
      </c>
      <c r="D579" s="299" t="s">
        <v>2480</v>
      </c>
      <c r="E579" s="387" t="s">
        <v>2478</v>
      </c>
      <c r="F579" s="299" t="s">
        <v>2479</v>
      </c>
      <c r="G579" s="300" t="s">
        <v>1635</v>
      </c>
      <c r="H579" s="300" t="s">
        <v>1526</v>
      </c>
      <c r="I579" s="301">
        <f>(397284)/1000*$I$5</f>
        <v>397.28399999999999</v>
      </c>
      <c r="J579" s="301">
        <f t="shared" si="17"/>
        <v>397.28399999999999</v>
      </c>
      <c r="K579" s="479" t="s">
        <v>2477</v>
      </c>
      <c r="L579" s="283"/>
    </row>
    <row r="580" spans="1:13" s="281" customFormat="1" ht="96" x14ac:dyDescent="0.2">
      <c r="A580" s="455"/>
      <c r="B580" s="453" t="s">
        <v>2921</v>
      </c>
      <c r="C580" s="385" t="s">
        <v>2482</v>
      </c>
      <c r="D580" s="389" t="s">
        <v>2483</v>
      </c>
      <c r="E580" s="390" t="s">
        <v>2484</v>
      </c>
      <c r="F580" s="478" t="s">
        <v>2481</v>
      </c>
      <c r="G580" s="453" t="s">
        <v>1526</v>
      </c>
      <c r="H580" s="453" t="s">
        <v>1636</v>
      </c>
      <c r="I580" s="311">
        <f>(338983)/1000*$I$5</f>
        <v>338.983</v>
      </c>
      <c r="J580" s="311">
        <f t="shared" si="17"/>
        <v>338.983</v>
      </c>
      <c r="K580" s="479" t="s">
        <v>2485</v>
      </c>
      <c r="L580" s="283"/>
    </row>
    <row r="581" spans="1:13" s="281" customFormat="1" ht="108" x14ac:dyDescent="0.2">
      <c r="A581" s="300"/>
      <c r="B581" s="453" t="s">
        <v>2922</v>
      </c>
      <c r="C581" s="388" t="s">
        <v>2491</v>
      </c>
      <c r="D581" s="386" t="s">
        <v>2492</v>
      </c>
      <c r="E581" s="387" t="s">
        <v>2493</v>
      </c>
      <c r="F581" s="299" t="s">
        <v>2490</v>
      </c>
      <c r="G581" s="300" t="s">
        <v>1643</v>
      </c>
      <c r="H581" s="300" t="s">
        <v>1527</v>
      </c>
      <c r="I581" s="301">
        <f>(338983)/1000*$I$5</f>
        <v>338.983</v>
      </c>
      <c r="J581" s="301">
        <f t="shared" si="17"/>
        <v>338.983</v>
      </c>
      <c r="K581" s="479" t="s">
        <v>2485</v>
      </c>
      <c r="L581" s="283"/>
    </row>
    <row r="582" spans="1:13" s="281" customFormat="1" ht="48" x14ac:dyDescent="0.2">
      <c r="A582" s="300"/>
      <c r="B582" s="453" t="s">
        <v>2923</v>
      </c>
      <c r="C582" s="388" t="s">
        <v>2497</v>
      </c>
      <c r="D582" s="386" t="s">
        <v>2496</v>
      </c>
      <c r="E582" s="387" t="s">
        <v>2495</v>
      </c>
      <c r="F582" s="299" t="s">
        <v>2494</v>
      </c>
      <c r="G582" s="300" t="s">
        <v>1643</v>
      </c>
      <c r="H582" s="300" t="s">
        <v>1527</v>
      </c>
      <c r="I582" s="301">
        <f>(855954)/1000*$I$5</f>
        <v>855.95399999999995</v>
      </c>
      <c r="J582" s="301">
        <f t="shared" si="17"/>
        <v>855.95399999999995</v>
      </c>
      <c r="K582" s="479" t="s">
        <v>2498</v>
      </c>
      <c r="L582" s="283"/>
    </row>
    <row r="583" spans="1:13" s="281" customFormat="1" ht="48" x14ac:dyDescent="0.2">
      <c r="A583" s="300"/>
      <c r="B583" s="453" t="s">
        <v>2924</v>
      </c>
      <c r="C583" s="299" t="s">
        <v>2555</v>
      </c>
      <c r="D583" s="299" t="s">
        <v>2554</v>
      </c>
      <c r="E583" s="298" t="s">
        <v>2552</v>
      </c>
      <c r="F583" s="299" t="s">
        <v>2553</v>
      </c>
      <c r="G583" s="300" t="s">
        <v>1527</v>
      </c>
      <c r="H583" s="300" t="s">
        <v>1527</v>
      </c>
      <c r="I583" s="301">
        <f>(89448)/1000*$I$5</f>
        <v>89.447999999999993</v>
      </c>
      <c r="J583" s="301">
        <f t="shared" si="17"/>
        <v>89.447999999999993</v>
      </c>
      <c r="K583" s="479" t="s">
        <v>2556</v>
      </c>
      <c r="L583" s="283"/>
    </row>
    <row r="584" spans="1:13" ht="48" x14ac:dyDescent="0.2">
      <c r="A584" s="112" t="s">
        <v>1474</v>
      </c>
      <c r="B584" s="300" t="s">
        <v>2925</v>
      </c>
      <c r="C584" s="131" t="s">
        <v>1471</v>
      </c>
      <c r="D584" s="131" t="s">
        <v>637</v>
      </c>
      <c r="E584" s="183" t="s">
        <v>641</v>
      </c>
      <c r="F584" s="66" t="s">
        <v>1470</v>
      </c>
      <c r="G584" s="77" t="s">
        <v>141</v>
      </c>
      <c r="H584" s="77" t="s">
        <v>638</v>
      </c>
      <c r="I584" s="195">
        <f>(1240980)/1000*$I$5</f>
        <v>1240.98</v>
      </c>
      <c r="J584" s="195">
        <f>I584-(0)/1000*$I$5</f>
        <v>1240.98</v>
      </c>
      <c r="K584" s="66" t="s">
        <v>640</v>
      </c>
      <c r="L584" s="78"/>
      <c r="M584" s="60" t="s">
        <v>641</v>
      </c>
    </row>
    <row r="585" spans="1:13" s="281" customFormat="1" ht="84" customHeight="1" x14ac:dyDescent="0.2">
      <c r="A585" s="300" t="s">
        <v>2146</v>
      </c>
      <c r="B585" s="300" t="s">
        <v>2927</v>
      </c>
      <c r="C585" s="629" t="s">
        <v>2140</v>
      </c>
      <c r="D585" s="629" t="s">
        <v>2141</v>
      </c>
      <c r="E585" s="298" t="s">
        <v>2142</v>
      </c>
      <c r="F585" s="299" t="s">
        <v>2145</v>
      </c>
      <c r="G585" s="300" t="s">
        <v>18</v>
      </c>
      <c r="H585" s="300" t="s">
        <v>18</v>
      </c>
      <c r="I585" s="301">
        <f>(67220)/1000*$I$5</f>
        <v>67.22</v>
      </c>
      <c r="J585" s="301">
        <f t="shared" ref="J585:J601" si="18">I585-(0)/1000*$I$5</f>
        <v>67.22</v>
      </c>
      <c r="K585" s="341" t="s">
        <v>2149</v>
      </c>
      <c r="L585" s="342"/>
    </row>
    <row r="586" spans="1:13" s="281" customFormat="1" ht="48" x14ac:dyDescent="0.2">
      <c r="A586" s="300"/>
      <c r="B586" s="300" t="s">
        <v>2928</v>
      </c>
      <c r="C586" s="630"/>
      <c r="D586" s="630"/>
      <c r="E586" s="298" t="s">
        <v>2143</v>
      </c>
      <c r="F586" s="299" t="s">
        <v>2145</v>
      </c>
      <c r="G586" s="300" t="s">
        <v>20</v>
      </c>
      <c r="H586" s="300" t="s">
        <v>20</v>
      </c>
      <c r="I586" s="301">
        <f>(67322)/1000*$I$5</f>
        <v>67.322000000000003</v>
      </c>
      <c r="J586" s="301">
        <f t="shared" si="18"/>
        <v>67.322000000000003</v>
      </c>
      <c r="K586" s="341" t="s">
        <v>2149</v>
      </c>
      <c r="L586" s="342"/>
    </row>
    <row r="587" spans="1:13" s="281" customFormat="1" ht="48" x14ac:dyDescent="0.2">
      <c r="A587" s="300"/>
      <c r="B587" s="300" t="s">
        <v>2929</v>
      </c>
      <c r="C587" s="630"/>
      <c r="D587" s="630"/>
      <c r="E587" s="298" t="s">
        <v>2144</v>
      </c>
      <c r="F587" s="299" t="s">
        <v>2145</v>
      </c>
      <c r="G587" s="300" t="s">
        <v>15</v>
      </c>
      <c r="H587" s="300" t="s">
        <v>15</v>
      </c>
      <c r="I587" s="301">
        <f>(66103)/1000*$I$5</f>
        <v>66.102999999999994</v>
      </c>
      <c r="J587" s="301">
        <f t="shared" si="18"/>
        <v>66.102999999999994</v>
      </c>
      <c r="K587" s="341" t="s">
        <v>2149</v>
      </c>
      <c r="L587" s="342"/>
    </row>
    <row r="588" spans="1:13" s="281" customFormat="1" ht="84" x14ac:dyDescent="0.2">
      <c r="A588" s="300"/>
      <c r="B588" s="300" t="s">
        <v>2930</v>
      </c>
      <c r="C588" s="630"/>
      <c r="D588" s="630"/>
      <c r="E588" s="298" t="s">
        <v>2150</v>
      </c>
      <c r="F588" s="299" t="s">
        <v>2147</v>
      </c>
      <c r="G588" s="300" t="s">
        <v>1520</v>
      </c>
      <c r="H588" s="300" t="s">
        <v>1575</v>
      </c>
      <c r="I588" s="301">
        <f>(83050)/1000*$I$5</f>
        <v>83.05</v>
      </c>
      <c r="J588" s="301">
        <f t="shared" si="18"/>
        <v>83.05</v>
      </c>
      <c r="K588" s="341" t="s">
        <v>2148</v>
      </c>
      <c r="L588" s="342"/>
    </row>
    <row r="589" spans="1:13" s="281" customFormat="1" ht="36" x14ac:dyDescent="0.2">
      <c r="A589" s="300"/>
      <c r="B589" s="300" t="s">
        <v>2931</v>
      </c>
      <c r="C589" s="630"/>
      <c r="D589" s="630"/>
      <c r="E589" s="298" t="s">
        <v>2151</v>
      </c>
      <c r="F589" s="299" t="s">
        <v>2154</v>
      </c>
      <c r="G589" s="300" t="s">
        <v>1869</v>
      </c>
      <c r="H589" s="300" t="s">
        <v>1522</v>
      </c>
      <c r="I589" s="301">
        <f>(625561)/1000*$I$5</f>
        <v>625.56100000000004</v>
      </c>
      <c r="J589" s="301">
        <f t="shared" si="18"/>
        <v>625.56100000000004</v>
      </c>
      <c r="K589" s="341" t="s">
        <v>2157</v>
      </c>
      <c r="L589" s="342"/>
    </row>
    <row r="590" spans="1:13" s="281" customFormat="1" ht="96" x14ac:dyDescent="0.2">
      <c r="A590" s="300"/>
      <c r="B590" s="300" t="s">
        <v>2932</v>
      </c>
      <c r="C590" s="630"/>
      <c r="D590" s="630"/>
      <c r="E590" s="298" t="s">
        <v>2158</v>
      </c>
      <c r="F590" s="299" t="s">
        <v>2156</v>
      </c>
      <c r="G590" s="300" t="s">
        <v>1635</v>
      </c>
      <c r="H590" s="300" t="s">
        <v>1596</v>
      </c>
      <c r="I590" s="301">
        <f>(1484769.95)/1000*$I$5</f>
        <v>1484.7699499999999</v>
      </c>
      <c r="J590" s="301">
        <f t="shared" si="18"/>
        <v>1484.7699499999999</v>
      </c>
      <c r="K590" s="341" t="s">
        <v>2155</v>
      </c>
      <c r="L590" s="342"/>
    </row>
    <row r="591" spans="1:13" s="281" customFormat="1" ht="60" x14ac:dyDescent="0.2">
      <c r="A591" s="300"/>
      <c r="B591" s="300" t="s">
        <v>2933</v>
      </c>
      <c r="C591" s="630"/>
      <c r="D591" s="630"/>
      <c r="E591" s="298" t="s">
        <v>2152</v>
      </c>
      <c r="F591" s="299" t="s">
        <v>2160</v>
      </c>
      <c r="G591" s="300" t="s">
        <v>1635</v>
      </c>
      <c r="H591" s="300" t="s">
        <v>1636</v>
      </c>
      <c r="I591" s="301">
        <f>(1447457.63)/1000*$I$5</f>
        <v>1447.4576299999999</v>
      </c>
      <c r="J591" s="301">
        <f t="shared" si="18"/>
        <v>1447.4576299999999</v>
      </c>
      <c r="K591" s="341" t="s">
        <v>2159</v>
      </c>
      <c r="L591" s="342"/>
    </row>
    <row r="592" spans="1:13" s="281" customFormat="1" ht="60" x14ac:dyDescent="0.2">
      <c r="A592" s="300"/>
      <c r="B592" s="300" t="s">
        <v>2934</v>
      </c>
      <c r="C592" s="631"/>
      <c r="D592" s="631"/>
      <c r="E592" s="298" t="s">
        <v>2153</v>
      </c>
      <c r="F592" s="299" t="s">
        <v>2198</v>
      </c>
      <c r="G592" s="300" t="s">
        <v>1643</v>
      </c>
      <c r="H592" s="300" t="s">
        <v>1643</v>
      </c>
      <c r="I592" s="301">
        <f>(107436)/1000*$I$5</f>
        <v>107.43600000000001</v>
      </c>
      <c r="J592" s="301">
        <f t="shared" si="18"/>
        <v>107.43600000000001</v>
      </c>
      <c r="K592" s="341" t="s">
        <v>2161</v>
      </c>
      <c r="L592" s="342"/>
    </row>
    <row r="593" spans="1:12" s="436" customFormat="1" ht="60" x14ac:dyDescent="0.2">
      <c r="A593" s="444"/>
      <c r="B593" s="444" t="s">
        <v>3224</v>
      </c>
      <c r="C593" s="492"/>
      <c r="D593" s="492"/>
      <c r="E593" s="505" t="s">
        <v>3223</v>
      </c>
      <c r="F593" s="507" t="s">
        <v>3222</v>
      </c>
      <c r="G593" s="444" t="s">
        <v>2104</v>
      </c>
      <c r="H593" s="444" t="s">
        <v>2104</v>
      </c>
      <c r="I593" s="506">
        <v>143577.35999999999</v>
      </c>
      <c r="J593" s="506">
        <f>I593-(0)/1000*$J$5</f>
        <v>143577.35999999999</v>
      </c>
      <c r="K593" s="503"/>
      <c r="L593" s="510"/>
    </row>
    <row r="594" spans="1:12" s="281" customFormat="1" ht="48" x14ac:dyDescent="0.2">
      <c r="A594" s="300"/>
      <c r="B594" s="300" t="s">
        <v>2935</v>
      </c>
      <c r="C594" s="629" t="s">
        <v>2201</v>
      </c>
      <c r="D594" s="629" t="s">
        <v>2199</v>
      </c>
      <c r="E594" s="298" t="s">
        <v>2194</v>
      </c>
      <c r="F594" s="299" t="s">
        <v>2200</v>
      </c>
      <c r="G594" s="300" t="s">
        <v>17</v>
      </c>
      <c r="H594" s="300" t="s">
        <v>598</v>
      </c>
      <c r="I594" s="301">
        <f>(131786)/1000*$I$5</f>
        <v>131.786</v>
      </c>
      <c r="J594" s="301">
        <f t="shared" si="18"/>
        <v>131.786</v>
      </c>
      <c r="K594" s="341" t="s">
        <v>2202</v>
      </c>
      <c r="L594" s="342"/>
    </row>
    <row r="595" spans="1:12" s="281" customFormat="1" ht="36" x14ac:dyDescent="0.2">
      <c r="A595" s="300"/>
      <c r="B595" s="300" t="s">
        <v>2936</v>
      </c>
      <c r="C595" s="630"/>
      <c r="D595" s="630"/>
      <c r="E595" s="298" t="s">
        <v>2195</v>
      </c>
      <c r="F595" s="299" t="s">
        <v>2203</v>
      </c>
      <c r="G595" s="300" t="s">
        <v>17</v>
      </c>
      <c r="H595" s="300" t="s">
        <v>598</v>
      </c>
      <c r="I595" s="301">
        <f>(335844)/1000*$I$5</f>
        <v>335.84399999999999</v>
      </c>
      <c r="J595" s="301">
        <f t="shared" si="18"/>
        <v>335.84399999999999</v>
      </c>
      <c r="K595" s="341" t="s">
        <v>2204</v>
      </c>
      <c r="L595" s="342"/>
    </row>
    <row r="596" spans="1:12" s="281" customFormat="1" ht="60" x14ac:dyDescent="0.2">
      <c r="A596" s="300"/>
      <c r="B596" s="300" t="s">
        <v>2937</v>
      </c>
      <c r="C596" s="631"/>
      <c r="D596" s="631"/>
      <c r="E596" s="298" t="s">
        <v>2196</v>
      </c>
      <c r="F596" s="299" t="s">
        <v>2197</v>
      </c>
      <c r="G596" s="300" t="s">
        <v>17</v>
      </c>
      <c r="H596" s="300" t="s">
        <v>598</v>
      </c>
      <c r="I596" s="301">
        <f>(282015)/1000*$I$5</f>
        <v>282.01499999999999</v>
      </c>
      <c r="J596" s="301">
        <f t="shared" si="18"/>
        <v>282.01499999999999</v>
      </c>
      <c r="K596" s="341" t="s">
        <v>2204</v>
      </c>
      <c r="L596" s="342"/>
    </row>
    <row r="597" spans="1:12" s="281" customFormat="1" ht="96" customHeight="1" x14ac:dyDescent="0.2">
      <c r="A597" s="300"/>
      <c r="B597" s="300" t="s">
        <v>2938</v>
      </c>
      <c r="C597" s="629" t="s">
        <v>2448</v>
      </c>
      <c r="D597" s="629" t="s">
        <v>2385</v>
      </c>
      <c r="E597" s="298" t="s">
        <v>2384</v>
      </c>
      <c r="F597" s="299" t="s">
        <v>2382</v>
      </c>
      <c r="G597" s="300" t="s">
        <v>638</v>
      </c>
      <c r="H597" s="300" t="s">
        <v>638</v>
      </c>
      <c r="I597" s="301">
        <f>(338022)/1000*$I$5</f>
        <v>338.02199999999999</v>
      </c>
      <c r="J597" s="301">
        <f t="shared" si="18"/>
        <v>338.02199999999999</v>
      </c>
      <c r="K597" s="479" t="s">
        <v>2383</v>
      </c>
      <c r="L597" s="283"/>
    </row>
    <row r="598" spans="1:12" s="281" customFormat="1" ht="60" x14ac:dyDescent="0.2">
      <c r="A598" s="300"/>
      <c r="B598" s="300" t="s">
        <v>2939</v>
      </c>
      <c r="C598" s="630"/>
      <c r="D598" s="630"/>
      <c r="E598" s="298" t="s">
        <v>2449</v>
      </c>
      <c r="F598" s="299" t="s">
        <v>2450</v>
      </c>
      <c r="G598" s="300" t="s">
        <v>1869</v>
      </c>
      <c r="H598" s="300" t="s">
        <v>1869</v>
      </c>
      <c r="I598" s="301">
        <f>(36913)/1000*$I$5</f>
        <v>36.912999999999997</v>
      </c>
      <c r="J598" s="301">
        <f t="shared" si="18"/>
        <v>36.912999999999997</v>
      </c>
      <c r="K598" s="479" t="s">
        <v>2451</v>
      </c>
      <c r="L598" s="283"/>
    </row>
    <row r="599" spans="1:12" s="281" customFormat="1" ht="48" x14ac:dyDescent="0.2">
      <c r="A599" s="300"/>
      <c r="B599" s="300" t="s">
        <v>2940</v>
      </c>
      <c r="C599" s="631"/>
      <c r="D599" s="631"/>
      <c r="E599" s="298" t="s">
        <v>2452</v>
      </c>
      <c r="F599" s="299" t="s">
        <v>2453</v>
      </c>
      <c r="G599" s="300" t="s">
        <v>1869</v>
      </c>
      <c r="H599" s="300" t="s">
        <v>1869</v>
      </c>
      <c r="I599" s="301">
        <f>(57878)/1000*$I$5</f>
        <v>57.878</v>
      </c>
      <c r="J599" s="301">
        <f t="shared" si="18"/>
        <v>57.878</v>
      </c>
      <c r="K599" s="479" t="s">
        <v>2454</v>
      </c>
      <c r="L599" s="283"/>
    </row>
    <row r="600" spans="1:12" s="281" customFormat="1" ht="132" x14ac:dyDescent="0.2">
      <c r="A600" s="300"/>
      <c r="B600" s="300" t="s">
        <v>2926</v>
      </c>
      <c r="C600" s="299" t="s">
        <v>2464</v>
      </c>
      <c r="D600" s="299" t="s">
        <v>2463</v>
      </c>
      <c r="E600" s="298" t="s">
        <v>2467</v>
      </c>
      <c r="F600" s="299" t="s">
        <v>2465</v>
      </c>
      <c r="G600" s="300" t="s">
        <v>1522</v>
      </c>
      <c r="H600" s="300" t="s">
        <v>1522</v>
      </c>
      <c r="I600" s="301">
        <f>(52000)/1000*$I$5</f>
        <v>52</v>
      </c>
      <c r="J600" s="301">
        <f t="shared" si="18"/>
        <v>52</v>
      </c>
      <c r="K600" s="479" t="s">
        <v>2466</v>
      </c>
      <c r="L600" s="283"/>
    </row>
    <row r="601" spans="1:12" s="281" customFormat="1" ht="60" x14ac:dyDescent="0.2">
      <c r="A601" s="300"/>
      <c r="B601" s="300" t="s">
        <v>2941</v>
      </c>
      <c r="C601" s="299" t="s">
        <v>2502</v>
      </c>
      <c r="D601" s="299" t="s">
        <v>2499</v>
      </c>
      <c r="E601" s="298" t="s">
        <v>2503</v>
      </c>
      <c r="F601" s="299" t="s">
        <v>2501</v>
      </c>
      <c r="G601" s="300" t="s">
        <v>1875</v>
      </c>
      <c r="H601" s="300" t="s">
        <v>1875</v>
      </c>
      <c r="I601" s="301">
        <f>(78158)/1000*$I$5</f>
        <v>78.158000000000001</v>
      </c>
      <c r="J601" s="301">
        <f t="shared" si="18"/>
        <v>78.158000000000001</v>
      </c>
      <c r="K601" s="479" t="s">
        <v>2500</v>
      </c>
      <c r="L601" s="283"/>
    </row>
    <row r="602" spans="1:12" s="436" customFormat="1" ht="48" x14ac:dyDescent="0.2">
      <c r="A602" s="511"/>
      <c r="B602" s="444" t="s">
        <v>3198</v>
      </c>
      <c r="C602" s="649" t="s">
        <v>3200</v>
      </c>
      <c r="D602" s="649" t="s">
        <v>3201</v>
      </c>
      <c r="E602" s="505" t="s">
        <v>3203</v>
      </c>
      <c r="F602" s="507" t="s">
        <v>3199</v>
      </c>
      <c r="G602" s="444" t="s">
        <v>1742</v>
      </c>
      <c r="H602" s="444" t="s">
        <v>1944</v>
      </c>
      <c r="I602" s="506">
        <f>(506471)/1000*$J$5</f>
        <v>506.471</v>
      </c>
      <c r="J602" s="506">
        <f>I602-(0)/1000*$J$5</f>
        <v>506.471</v>
      </c>
      <c r="K602" s="503"/>
      <c r="L602" s="510"/>
    </row>
    <row r="603" spans="1:12" s="436" customFormat="1" ht="48" x14ac:dyDescent="0.2">
      <c r="A603" s="511"/>
      <c r="B603" s="444" t="s">
        <v>3266</v>
      </c>
      <c r="C603" s="650"/>
      <c r="D603" s="650"/>
      <c r="E603" s="505" t="s">
        <v>3204</v>
      </c>
      <c r="F603" s="507" t="s">
        <v>3202</v>
      </c>
      <c r="G603" s="444" t="s">
        <v>2982</v>
      </c>
      <c r="H603" s="444" t="s">
        <v>2245</v>
      </c>
      <c r="I603" s="506">
        <f>(508719)/1000*$J$5</f>
        <v>508.71899999999999</v>
      </c>
      <c r="J603" s="506">
        <f>I603-(0)/1000*$J$5</f>
        <v>508.71899999999999</v>
      </c>
      <c r="K603" s="503"/>
      <c r="L603" s="510"/>
    </row>
    <row r="604" spans="1:12" s="281" customFormat="1" x14ac:dyDescent="0.2">
      <c r="A604" s="498"/>
      <c r="B604" s="498"/>
      <c r="C604" s="341"/>
      <c r="D604" s="341"/>
      <c r="E604" s="499"/>
      <c r="F604" s="341"/>
      <c r="G604" s="498"/>
      <c r="H604" s="498"/>
      <c r="I604" s="307"/>
      <c r="J604" s="307"/>
      <c r="K604" s="341"/>
      <c r="L604" s="342"/>
    </row>
    <row r="605" spans="1:12" x14ac:dyDescent="0.2">
      <c r="E605" s="60"/>
      <c r="F605" s="60"/>
    </row>
    <row r="607" spans="1:12" x14ac:dyDescent="0.2">
      <c r="C607" s="625" t="s">
        <v>796</v>
      </c>
      <c r="D607" s="625"/>
      <c r="E607" s="625"/>
      <c r="F607" s="625"/>
      <c r="G607" s="625"/>
      <c r="H607" s="625"/>
      <c r="I607" s="625"/>
      <c r="J607" s="625"/>
      <c r="K607" s="625"/>
      <c r="L607" s="625"/>
    </row>
    <row r="609" spans="1:2" x14ac:dyDescent="0.2">
      <c r="A609" s="60" t="s">
        <v>806</v>
      </c>
      <c r="B609" s="281" t="s">
        <v>3267</v>
      </c>
    </row>
  </sheetData>
  <mergeCells count="127">
    <mergeCell ref="E393:E409"/>
    <mergeCell ref="D352:D359"/>
    <mergeCell ref="C332:C333"/>
    <mergeCell ref="D332:D334"/>
    <mergeCell ref="D266:D267"/>
    <mergeCell ref="C602:C603"/>
    <mergeCell ref="D602:D603"/>
    <mergeCell ref="C560:C573"/>
    <mergeCell ref="D327:D328"/>
    <mergeCell ref="D363:D364"/>
    <mergeCell ref="D337:D340"/>
    <mergeCell ref="D410:D411"/>
    <mergeCell ref="D392:D409"/>
    <mergeCell ref="D415:D416"/>
    <mergeCell ref="C423:C425"/>
    <mergeCell ref="C351:C355"/>
    <mergeCell ref="C371:C372"/>
    <mergeCell ref="D374:D384"/>
    <mergeCell ref="D313:D314"/>
    <mergeCell ref="D315:D316"/>
    <mergeCell ref="C318:C320"/>
    <mergeCell ref="C325:C326"/>
    <mergeCell ref="C342:C345"/>
    <mergeCell ref="D342:D343"/>
    <mergeCell ref="D16:D18"/>
    <mergeCell ref="D20:D21"/>
    <mergeCell ref="D26:D33"/>
    <mergeCell ref="D34:D35"/>
    <mergeCell ref="D44:D46"/>
    <mergeCell ref="D47:D49"/>
    <mergeCell ref="G6:H6"/>
    <mergeCell ref="I6:J6"/>
    <mergeCell ref="K6:K7"/>
    <mergeCell ref="L6:L7"/>
    <mergeCell ref="D10:D11"/>
    <mergeCell ref="D12:D13"/>
    <mergeCell ref="A6:A7"/>
    <mergeCell ref="B6:B7"/>
    <mergeCell ref="C6:C7"/>
    <mergeCell ref="D6:D7"/>
    <mergeCell ref="E6:E7"/>
    <mergeCell ref="F6:F7"/>
    <mergeCell ref="D94:D95"/>
    <mergeCell ref="C108:C109"/>
    <mergeCell ref="D108:D109"/>
    <mergeCell ref="D114:D115"/>
    <mergeCell ref="D54:D56"/>
    <mergeCell ref="D66:D67"/>
    <mergeCell ref="D68:D69"/>
    <mergeCell ref="D75:D76"/>
    <mergeCell ref="D78:D79"/>
    <mergeCell ref="D83:D84"/>
    <mergeCell ref="D85:D86"/>
    <mergeCell ref="D90:D91"/>
    <mergeCell ref="D154:D156"/>
    <mergeCell ref="D157:D158"/>
    <mergeCell ref="D167:D171"/>
    <mergeCell ref="K167:K171"/>
    <mergeCell ref="D174:D184"/>
    <mergeCell ref="C175:C179"/>
    <mergeCell ref="K175:K179"/>
    <mergeCell ref="K180:K184"/>
    <mergeCell ref="D116:D117"/>
    <mergeCell ref="D122:D123"/>
    <mergeCell ref="D125:D127"/>
    <mergeCell ref="D131:D132"/>
    <mergeCell ref="D146:D150"/>
    <mergeCell ref="D152:D153"/>
    <mergeCell ref="D212:D217"/>
    <mergeCell ref="C213:C214"/>
    <mergeCell ref="C217:C218"/>
    <mergeCell ref="D219:D221"/>
    <mergeCell ref="C237:C238"/>
    <mergeCell ref="D237:D239"/>
    <mergeCell ref="C187:C189"/>
    <mergeCell ref="K187:K189"/>
    <mergeCell ref="D199:D200"/>
    <mergeCell ref="C208:C210"/>
    <mergeCell ref="C191:C192"/>
    <mergeCell ref="C221:C232"/>
    <mergeCell ref="D201:D202"/>
    <mergeCell ref="C202:C204"/>
    <mergeCell ref="D203:D204"/>
    <mergeCell ref="D195:D196"/>
    <mergeCell ref="C284:C286"/>
    <mergeCell ref="D289:D290"/>
    <mergeCell ref="D304:D305"/>
    <mergeCell ref="C302:C304"/>
    <mergeCell ref="C374:C385"/>
    <mergeCell ref="D241:D245"/>
    <mergeCell ref="C248:C249"/>
    <mergeCell ref="C256:C258"/>
    <mergeCell ref="C259:C260"/>
    <mergeCell ref="D261:D262"/>
    <mergeCell ref="C270:C273"/>
    <mergeCell ref="D270:D274"/>
    <mergeCell ref="C251:C252"/>
    <mergeCell ref="C300:C301"/>
    <mergeCell ref="D292:D296"/>
    <mergeCell ref="D300:D301"/>
    <mergeCell ref="C291:C299"/>
    <mergeCell ref="D297:D299"/>
    <mergeCell ref="C275:C278"/>
    <mergeCell ref="D456:D542"/>
    <mergeCell ref="C356:C359"/>
    <mergeCell ref="C597:C599"/>
    <mergeCell ref="D597:D599"/>
    <mergeCell ref="C607:L607"/>
    <mergeCell ref="C205:C206"/>
    <mergeCell ref="D561:D572"/>
    <mergeCell ref="C574:C575"/>
    <mergeCell ref="C585:C592"/>
    <mergeCell ref="D585:D592"/>
    <mergeCell ref="C594:C596"/>
    <mergeCell ref="D594:D596"/>
    <mergeCell ref="C431:C434"/>
    <mergeCell ref="D431:D434"/>
    <mergeCell ref="D436:D450"/>
    <mergeCell ref="D543:D544"/>
    <mergeCell ref="C558:C559"/>
    <mergeCell ref="D558:D559"/>
    <mergeCell ref="C389:C391"/>
    <mergeCell ref="D389:D391"/>
    <mergeCell ref="C349:C350"/>
    <mergeCell ref="C346:C348"/>
    <mergeCell ref="C419:C420"/>
    <mergeCell ref="D419:D421"/>
  </mergeCells>
  <pageMargins left="0.11811023622047245" right="0.11811023622047245" top="0.27559055118110237" bottom="0.27559055118110237" header="0.31496062992125984" footer="0.11811023622047245"/>
  <pageSetup paperSize="9" scale="92" fitToHeight="207" orientation="landscape" r:id="rId1"/>
  <headerFooter>
    <oddFooter>&amp;R&amp;P</oddFooter>
  </headerFooter>
  <rowBreaks count="3" manualBreakCount="3">
    <brk id="197" min="1" max="9" man="1"/>
    <brk id="291" min="1" max="9" man="1"/>
    <brk id="304" min="1" max="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62"/>
  <sheetViews>
    <sheetView showZeros="0" tabSelected="1" topLeftCell="A733" zoomScale="115" zoomScaleNormal="115" zoomScaleSheetLayoutView="120" workbookViewId="0">
      <selection activeCell="G688" sqref="G688"/>
    </sheetView>
  </sheetViews>
  <sheetFormatPr defaultColWidth="9.140625" defaultRowHeight="12" x14ac:dyDescent="0.2"/>
  <cols>
    <col min="1" max="1" width="5.140625" style="533" customWidth="1"/>
    <col min="2" max="2" width="32.7109375" style="532" customWidth="1"/>
    <col min="3" max="3" width="35.7109375" style="532" customWidth="1"/>
    <col min="4" max="4" width="15.28515625" style="529" customWidth="1"/>
    <col min="5" max="5" width="35.85546875" style="513" customWidth="1"/>
    <col min="6" max="6" width="9.85546875" style="532" customWidth="1"/>
    <col min="7" max="7" width="10.42578125" style="532" customWidth="1"/>
    <col min="8" max="8" width="12.42578125" style="532" customWidth="1"/>
    <col min="9" max="9" width="11.28515625" style="532" customWidth="1"/>
    <col min="10" max="16384" width="9.140625" style="532"/>
  </cols>
  <sheetData>
    <row r="1" spans="1:9" hidden="1" x14ac:dyDescent="0.2"/>
    <row r="2" spans="1:9" ht="15.75" x14ac:dyDescent="0.2">
      <c r="B2" s="536" t="s">
        <v>4716</v>
      </c>
      <c r="C2" s="531"/>
      <c r="D2" s="531"/>
      <c r="E2" s="531"/>
      <c r="F2" s="531"/>
      <c r="G2" s="531"/>
      <c r="H2" s="531"/>
      <c r="I2" s="531"/>
    </row>
    <row r="3" spans="1:9" ht="10.5" customHeight="1" x14ac:dyDescent="0.2">
      <c r="B3" s="530"/>
      <c r="C3" s="530"/>
      <c r="E3" s="528"/>
      <c r="F3" s="530"/>
      <c r="G3" s="530"/>
      <c r="H3" s="535">
        <v>1</v>
      </c>
      <c r="I3" s="535">
        <v>1</v>
      </c>
    </row>
    <row r="4" spans="1:9" ht="25.5" customHeight="1" x14ac:dyDescent="0.2">
      <c r="A4" s="664" t="s">
        <v>65</v>
      </c>
      <c r="B4" s="670" t="s">
        <v>0</v>
      </c>
      <c r="C4" s="668" t="s">
        <v>3292</v>
      </c>
      <c r="D4" s="666" t="s">
        <v>808</v>
      </c>
      <c r="E4" s="668" t="s">
        <v>809</v>
      </c>
      <c r="F4" s="662" t="s">
        <v>1</v>
      </c>
      <c r="G4" s="663"/>
      <c r="H4" s="662" t="s">
        <v>4171</v>
      </c>
      <c r="I4" s="663"/>
    </row>
    <row r="5" spans="1:9" ht="56.45" customHeight="1" x14ac:dyDescent="0.2">
      <c r="A5" s="665"/>
      <c r="B5" s="671"/>
      <c r="C5" s="669"/>
      <c r="D5" s="667"/>
      <c r="E5" s="669"/>
      <c r="F5" s="527" t="s">
        <v>2</v>
      </c>
      <c r="G5" s="526" t="s">
        <v>3273</v>
      </c>
      <c r="H5" s="527" t="s">
        <v>3</v>
      </c>
      <c r="I5" s="527" t="s">
        <v>33</v>
      </c>
    </row>
    <row r="6" spans="1:9" ht="11.45" customHeight="1" x14ac:dyDescent="0.2">
      <c r="A6" s="525">
        <v>1</v>
      </c>
      <c r="B6" s="524">
        <v>2</v>
      </c>
      <c r="C6" s="524">
        <v>3</v>
      </c>
      <c r="D6" s="523">
        <v>4</v>
      </c>
      <c r="E6" s="524">
        <v>5</v>
      </c>
      <c r="F6" s="523">
        <v>6</v>
      </c>
      <c r="G6" s="524">
        <v>7</v>
      </c>
      <c r="H6" s="523">
        <v>8</v>
      </c>
      <c r="I6" s="524">
        <v>9</v>
      </c>
    </row>
    <row r="7" spans="1:9" ht="96" x14ac:dyDescent="0.2">
      <c r="A7" s="522">
        <v>1</v>
      </c>
      <c r="B7" s="537" t="s">
        <v>3411</v>
      </c>
      <c r="C7" s="520" t="s">
        <v>3291</v>
      </c>
      <c r="D7" s="519" t="s">
        <v>2004</v>
      </c>
      <c r="E7" s="520" t="s">
        <v>3299</v>
      </c>
      <c r="F7" s="113" t="s">
        <v>569</v>
      </c>
      <c r="G7" s="113" t="s">
        <v>91</v>
      </c>
      <c r="H7" s="534">
        <f>(18977634)/1000*$H$3</f>
        <v>18977.633999999998</v>
      </c>
      <c r="I7" s="534">
        <v>18978</v>
      </c>
    </row>
    <row r="8" spans="1:9" ht="84" customHeight="1" x14ac:dyDescent="0.2">
      <c r="A8" s="522">
        <v>2</v>
      </c>
      <c r="B8" s="537" t="s">
        <v>3302</v>
      </c>
      <c r="C8" s="520" t="s">
        <v>3293</v>
      </c>
      <c r="D8" s="519" t="s">
        <v>928</v>
      </c>
      <c r="E8" s="520" t="s">
        <v>924</v>
      </c>
      <c r="F8" s="113" t="s">
        <v>223</v>
      </c>
      <c r="G8" s="518" t="s">
        <v>1737</v>
      </c>
      <c r="H8" s="534">
        <f>(648433534.63)/1000*$H$3</f>
        <v>648433.53463000001</v>
      </c>
      <c r="I8" s="534">
        <f>H8-(4769735+3069504.4+251907)/1000*$H$3</f>
        <v>640342.38823000004</v>
      </c>
    </row>
    <row r="9" spans="1:9" ht="84" x14ac:dyDescent="0.2">
      <c r="A9" s="522">
        <v>3</v>
      </c>
      <c r="B9" s="537" t="s">
        <v>3302</v>
      </c>
      <c r="C9" s="520" t="s">
        <v>3294</v>
      </c>
      <c r="D9" s="519" t="s">
        <v>927</v>
      </c>
      <c r="E9" s="520" t="s">
        <v>1099</v>
      </c>
      <c r="F9" s="113" t="s">
        <v>31</v>
      </c>
      <c r="G9" s="113" t="s">
        <v>11</v>
      </c>
      <c r="H9" s="534">
        <f>(263049495)/1000*$H$3</f>
        <v>263049.495</v>
      </c>
      <c r="I9" s="534">
        <f>H9-(3429672+4392871+1527542)/1000*$H$3</f>
        <v>253699.41</v>
      </c>
    </row>
    <row r="10" spans="1:9" ht="222" customHeight="1" x14ac:dyDescent="0.2">
      <c r="A10" s="522">
        <v>4</v>
      </c>
      <c r="B10" s="537" t="s">
        <v>3300</v>
      </c>
      <c r="C10" s="520" t="s">
        <v>3301</v>
      </c>
      <c r="D10" s="519" t="s">
        <v>551</v>
      </c>
      <c r="E10" s="520" t="s">
        <v>3295</v>
      </c>
      <c r="F10" s="113" t="s">
        <v>6</v>
      </c>
      <c r="G10" s="113" t="s">
        <v>7</v>
      </c>
      <c r="H10" s="534">
        <f>(444005270)/1000*$H$3</f>
        <v>444005.27</v>
      </c>
      <c r="I10" s="534">
        <f>H10-(1802298+116204+5445957+4438015+332211+8285705+1361841+6213406+130743)/1000*$H$3</f>
        <v>415878.89</v>
      </c>
    </row>
    <row r="11" spans="1:9" ht="120" x14ac:dyDescent="0.2">
      <c r="A11" s="522">
        <v>5</v>
      </c>
      <c r="B11" s="537" t="s">
        <v>3297</v>
      </c>
      <c r="C11" s="520" t="s">
        <v>3296</v>
      </c>
      <c r="D11" s="519" t="s">
        <v>388</v>
      </c>
      <c r="E11" s="520" t="s">
        <v>1236</v>
      </c>
      <c r="F11" s="113" t="s">
        <v>389</v>
      </c>
      <c r="G11" s="113" t="s">
        <v>126</v>
      </c>
      <c r="H11" s="534">
        <f>(46178318)/1000*$H$3</f>
        <v>46178.317999999999</v>
      </c>
      <c r="I11" s="534">
        <f>H11-(1471085+2237239+429854+2062761)/1000*$H$3</f>
        <v>39977.379000000001</v>
      </c>
    </row>
    <row r="12" spans="1:9" ht="156" x14ac:dyDescent="0.2">
      <c r="A12" s="522">
        <v>6</v>
      </c>
      <c r="B12" s="537" t="s">
        <v>3298</v>
      </c>
      <c r="C12" s="520" t="s">
        <v>4187</v>
      </c>
      <c r="D12" s="519" t="s">
        <v>441</v>
      </c>
      <c r="E12" s="521" t="s">
        <v>1263</v>
      </c>
      <c r="F12" s="113" t="s">
        <v>439</v>
      </c>
      <c r="G12" s="113" t="s">
        <v>126</v>
      </c>
      <c r="H12" s="534">
        <f>(7168312)/1000*$H$3</f>
        <v>7168.3119999999999</v>
      </c>
      <c r="I12" s="534">
        <f>H12-(803199)/1000*$H$3</f>
        <v>6365.1130000000003</v>
      </c>
    </row>
    <row r="13" spans="1:9" ht="84" x14ac:dyDescent="0.2">
      <c r="A13" s="522">
        <v>7</v>
      </c>
      <c r="B13" s="537" t="s">
        <v>3302</v>
      </c>
      <c r="C13" s="520" t="s">
        <v>3303</v>
      </c>
      <c r="D13" s="519" t="s">
        <v>659</v>
      </c>
      <c r="E13" s="520" t="s">
        <v>3304</v>
      </c>
      <c r="F13" s="113" t="s">
        <v>227</v>
      </c>
      <c r="G13" s="518" t="s">
        <v>638</v>
      </c>
      <c r="H13" s="534">
        <f>(1071063203.31+1884095.47)/1000*$H$3</f>
        <v>1072947.2987800001</v>
      </c>
      <c r="I13" s="534">
        <f>H13-(213273640+1475718+31875722+14558003+15523386+31999188+33739055+9912986)/1000*$H$3</f>
        <v>720589.6007800001</v>
      </c>
    </row>
    <row r="14" spans="1:9" ht="96" x14ac:dyDescent="0.2">
      <c r="A14" s="522">
        <v>8</v>
      </c>
      <c r="B14" s="537" t="s">
        <v>3305</v>
      </c>
      <c r="C14" s="520" t="s">
        <v>3309</v>
      </c>
      <c r="D14" s="519" t="s">
        <v>1123</v>
      </c>
      <c r="E14" s="520" t="s">
        <v>3306</v>
      </c>
      <c r="F14" s="113" t="s">
        <v>174</v>
      </c>
      <c r="G14" s="113" t="s">
        <v>8</v>
      </c>
      <c r="H14" s="534">
        <f>(1935198.82/1.18)/1000*$H$3</f>
        <v>1639.9990000000003</v>
      </c>
      <c r="I14" s="534">
        <f>H14-(0)/1000*$H$3</f>
        <v>1639.9990000000003</v>
      </c>
    </row>
    <row r="15" spans="1:9" ht="96" x14ac:dyDescent="0.2">
      <c r="A15" s="522">
        <v>9</v>
      </c>
      <c r="B15" s="537" t="s">
        <v>3307</v>
      </c>
      <c r="C15" s="517" t="s">
        <v>3308</v>
      </c>
      <c r="D15" s="519" t="s">
        <v>880</v>
      </c>
      <c r="E15" s="520" t="s">
        <v>248</v>
      </c>
      <c r="F15" s="113" t="s">
        <v>119</v>
      </c>
      <c r="G15" s="113" t="s">
        <v>119</v>
      </c>
      <c r="H15" s="534">
        <f>(448400/1.18)/1000*$H$3</f>
        <v>380</v>
      </c>
      <c r="I15" s="534">
        <f>H15-(0)/1000*$H$3</f>
        <v>380</v>
      </c>
    </row>
    <row r="16" spans="1:9" ht="108" x14ac:dyDescent="0.2">
      <c r="A16" s="522">
        <v>10</v>
      </c>
      <c r="B16" s="537" t="s">
        <v>3312</v>
      </c>
      <c r="C16" s="520" t="s">
        <v>3310</v>
      </c>
      <c r="D16" s="519" t="s">
        <v>442</v>
      </c>
      <c r="E16" s="520" t="s">
        <v>3311</v>
      </c>
      <c r="F16" s="113" t="s">
        <v>119</v>
      </c>
      <c r="G16" s="113" t="s">
        <v>295</v>
      </c>
      <c r="H16" s="534">
        <f>(14067218)/1000*$H$3</f>
        <v>14067.218000000001</v>
      </c>
      <c r="I16" s="534">
        <f>H16-(0)/1000*$H$3</f>
        <v>14067.218000000001</v>
      </c>
    </row>
    <row r="17" spans="1:9" ht="96" x14ac:dyDescent="0.2">
      <c r="A17" s="522">
        <v>11</v>
      </c>
      <c r="B17" s="537" t="s">
        <v>3313</v>
      </c>
      <c r="C17" s="520" t="s">
        <v>3314</v>
      </c>
      <c r="D17" s="519" t="s">
        <v>810</v>
      </c>
      <c r="E17" s="521" t="s">
        <v>3315</v>
      </c>
      <c r="F17" s="113" t="s">
        <v>46</v>
      </c>
      <c r="G17" s="113" t="s">
        <v>4</v>
      </c>
      <c r="H17" s="534">
        <f>(20240490)/1000*$H$3</f>
        <v>20240.490000000002</v>
      </c>
      <c r="I17" s="534">
        <f>H17-(53737)/1000*$H$3</f>
        <v>20186.753000000001</v>
      </c>
    </row>
    <row r="18" spans="1:9" ht="168" x14ac:dyDescent="0.2">
      <c r="A18" s="522">
        <v>12</v>
      </c>
      <c r="B18" s="537" t="s">
        <v>3316</v>
      </c>
      <c r="C18" s="520" t="s">
        <v>3317</v>
      </c>
      <c r="D18" s="519" t="s">
        <v>923</v>
      </c>
      <c r="E18" s="520" t="s">
        <v>3318</v>
      </c>
      <c r="F18" s="113" t="s">
        <v>46</v>
      </c>
      <c r="G18" s="518" t="s">
        <v>48</v>
      </c>
      <c r="H18" s="534">
        <f>(22567584.09)/1000*$H$3</f>
        <v>22567.58409</v>
      </c>
      <c r="I18" s="534">
        <f>H18-(1513641+2800000+165000)/1000*$H$3</f>
        <v>18088.943090000001</v>
      </c>
    </row>
    <row r="19" spans="1:9" ht="96" x14ac:dyDescent="0.2">
      <c r="A19" s="522">
        <v>13</v>
      </c>
      <c r="B19" s="537" t="s">
        <v>3319</v>
      </c>
      <c r="C19" s="520" t="s">
        <v>3320</v>
      </c>
      <c r="D19" s="519" t="s">
        <v>955</v>
      </c>
      <c r="E19" s="520" t="s">
        <v>3321</v>
      </c>
      <c r="F19" s="113" t="s">
        <v>46</v>
      </c>
      <c r="G19" s="113" t="s">
        <v>126</v>
      </c>
      <c r="H19" s="534">
        <f>(570000)/1000*$H$3</f>
        <v>570</v>
      </c>
      <c r="I19" s="534">
        <f>H19-(0)/1000*$H$3</f>
        <v>570</v>
      </c>
    </row>
    <row r="20" spans="1:9" ht="168.75" customHeight="1" x14ac:dyDescent="0.2">
      <c r="A20" s="522">
        <v>14</v>
      </c>
      <c r="B20" s="537" t="s">
        <v>3322</v>
      </c>
      <c r="C20" s="520" t="s">
        <v>3323</v>
      </c>
      <c r="D20" s="519" t="s">
        <v>562</v>
      </c>
      <c r="E20" s="520" t="s">
        <v>3324</v>
      </c>
      <c r="F20" s="113" t="s">
        <v>46</v>
      </c>
      <c r="G20" s="113" t="s">
        <v>52</v>
      </c>
      <c r="H20" s="534">
        <f>(12510963+537851)/1000*$H$3</f>
        <v>13048.814</v>
      </c>
      <c r="I20" s="534">
        <f>H20-(0)/1000*$H$3</f>
        <v>13048.814</v>
      </c>
    </row>
    <row r="21" spans="1:9" ht="96" x14ac:dyDescent="0.2">
      <c r="A21" s="522">
        <v>15</v>
      </c>
      <c r="B21" s="537" t="s">
        <v>3325</v>
      </c>
      <c r="C21" s="520" t="s">
        <v>3326</v>
      </c>
      <c r="D21" s="519" t="s">
        <v>956</v>
      </c>
      <c r="E21" s="520" t="s">
        <v>1127</v>
      </c>
      <c r="F21" s="113" t="s">
        <v>176</v>
      </c>
      <c r="G21" s="113" t="s">
        <v>176</v>
      </c>
      <c r="H21" s="534">
        <f>(259600/1.18)/1000*$H$3</f>
        <v>220</v>
      </c>
      <c r="I21" s="534">
        <f>H21-(0)/1000*$H$3</f>
        <v>220</v>
      </c>
    </row>
    <row r="22" spans="1:9" ht="132" x14ac:dyDescent="0.2">
      <c r="A22" s="522">
        <v>16</v>
      </c>
      <c r="B22" s="537" t="s">
        <v>3334</v>
      </c>
      <c r="C22" s="520" t="s">
        <v>3332</v>
      </c>
      <c r="D22" s="519" t="s">
        <v>1187</v>
      </c>
      <c r="E22" s="520" t="s">
        <v>3333</v>
      </c>
      <c r="F22" s="113" t="s">
        <v>176</v>
      </c>
      <c r="G22" s="113" t="s">
        <v>48</v>
      </c>
      <c r="H22" s="534">
        <f>(18470000)/1000*$H$3</f>
        <v>18470</v>
      </c>
      <c r="I22" s="534">
        <f>H22-(6226282)/1000*$H$3</f>
        <v>12243.718000000001</v>
      </c>
    </row>
    <row r="23" spans="1:9" ht="132" x14ac:dyDescent="0.2">
      <c r="A23" s="522">
        <v>17</v>
      </c>
      <c r="B23" s="539" t="s">
        <v>3412</v>
      </c>
      <c r="C23" s="520" t="s">
        <v>3335</v>
      </c>
      <c r="D23" s="519" t="s">
        <v>1204</v>
      </c>
      <c r="E23" s="520" t="s">
        <v>3336</v>
      </c>
      <c r="F23" s="113" t="s">
        <v>176</v>
      </c>
      <c r="G23" s="113" t="s">
        <v>54</v>
      </c>
      <c r="H23" s="534">
        <f>(17300000)/1000*$H$3</f>
        <v>17300</v>
      </c>
      <c r="I23" s="534">
        <f>H23-(2581571+57053)/1000*$H$3</f>
        <v>14661.376</v>
      </c>
    </row>
    <row r="24" spans="1:9" ht="72" x14ac:dyDescent="0.2">
      <c r="A24" s="522">
        <v>18</v>
      </c>
      <c r="B24" s="537" t="s">
        <v>3337</v>
      </c>
      <c r="C24" s="520" t="s">
        <v>3390</v>
      </c>
      <c r="D24" s="519" t="s">
        <v>452</v>
      </c>
      <c r="E24" s="520" t="s">
        <v>3338</v>
      </c>
      <c r="F24" s="113" t="s">
        <v>176</v>
      </c>
      <c r="G24" s="113" t="s">
        <v>48</v>
      </c>
      <c r="H24" s="534">
        <f>(6900000+4477636)/1000*$H$3</f>
        <v>11377.636</v>
      </c>
      <c r="I24" s="534">
        <f>H24-(0)/1000*$H$3</f>
        <v>11377.636</v>
      </c>
    </row>
    <row r="25" spans="1:9" ht="192" x14ac:dyDescent="0.2">
      <c r="A25" s="522">
        <v>19</v>
      </c>
      <c r="B25" s="537" t="s">
        <v>3337</v>
      </c>
      <c r="C25" s="520" t="s">
        <v>3390</v>
      </c>
      <c r="D25" s="519" t="s">
        <v>456</v>
      </c>
      <c r="E25" s="520" t="s">
        <v>3339</v>
      </c>
      <c r="F25" s="113" t="s">
        <v>176</v>
      </c>
      <c r="G25" s="113" t="s">
        <v>181</v>
      </c>
      <c r="H25" s="534">
        <f>(11864407)/1000*$H$3</f>
        <v>11864.406999999999</v>
      </c>
      <c r="I25" s="534">
        <f>H25-(0)/1000*$H$3</f>
        <v>11864.406999999999</v>
      </c>
    </row>
    <row r="26" spans="1:9" ht="96" x14ac:dyDescent="0.2">
      <c r="A26" s="522">
        <v>20</v>
      </c>
      <c r="B26" s="537" t="s">
        <v>3340</v>
      </c>
      <c r="C26" s="517" t="s">
        <v>3341</v>
      </c>
      <c r="D26" s="519" t="s">
        <v>883</v>
      </c>
      <c r="E26" s="520" t="s">
        <v>3342</v>
      </c>
      <c r="F26" s="113" t="s">
        <v>126</v>
      </c>
      <c r="G26" s="113" t="s">
        <v>127</v>
      </c>
      <c r="H26" s="534">
        <f>(650000)/1000*$H$3</f>
        <v>650</v>
      </c>
      <c r="I26" s="534">
        <f>H26-(0)/1000*$H$3</f>
        <v>650</v>
      </c>
    </row>
    <row r="27" spans="1:9" ht="132" x14ac:dyDescent="0.2">
      <c r="A27" s="522">
        <v>21</v>
      </c>
      <c r="B27" s="537" t="s">
        <v>3343</v>
      </c>
      <c r="C27" s="520" t="s">
        <v>3344</v>
      </c>
      <c r="D27" s="519" t="s">
        <v>984</v>
      </c>
      <c r="E27" s="520" t="s">
        <v>3345</v>
      </c>
      <c r="F27" s="113" t="s">
        <v>126</v>
      </c>
      <c r="G27" s="113" t="s">
        <v>295</v>
      </c>
      <c r="H27" s="534">
        <f>(83139502.68)/1000*$H$3</f>
        <v>83139.502680000005</v>
      </c>
      <c r="I27" s="534">
        <f>H27-(6200000+10529012+8438715+108814)/1000*$H$3</f>
        <v>57862.961680000008</v>
      </c>
    </row>
    <row r="28" spans="1:9" ht="120" x14ac:dyDescent="0.2">
      <c r="A28" s="522">
        <v>22</v>
      </c>
      <c r="B28" s="537" t="s">
        <v>3346</v>
      </c>
      <c r="C28" s="520" t="s">
        <v>3348</v>
      </c>
      <c r="D28" s="519" t="s">
        <v>411</v>
      </c>
      <c r="E28" s="520" t="s">
        <v>3347</v>
      </c>
      <c r="F28" s="113" t="s">
        <v>126</v>
      </c>
      <c r="G28" s="113" t="s">
        <v>8</v>
      </c>
      <c r="H28" s="534">
        <f>(900000)/1000*$H$3</f>
        <v>900</v>
      </c>
      <c r="I28" s="534">
        <f>H28-(0)/1000*$H$3</f>
        <v>900</v>
      </c>
    </row>
    <row r="29" spans="1:9" ht="108" x14ac:dyDescent="0.2">
      <c r="A29" s="522">
        <v>23</v>
      </c>
      <c r="B29" s="537" t="s">
        <v>3349</v>
      </c>
      <c r="C29" s="520" t="s">
        <v>3389</v>
      </c>
      <c r="D29" s="519" t="s">
        <v>465</v>
      </c>
      <c r="E29" s="520" t="s">
        <v>3350</v>
      </c>
      <c r="F29" s="113" t="s">
        <v>126</v>
      </c>
      <c r="G29" s="518" t="s">
        <v>410</v>
      </c>
      <c r="H29" s="534">
        <f>(2038983)/1000*$H$3</f>
        <v>2038.9829999999999</v>
      </c>
      <c r="I29" s="534">
        <f>H29-(0)/1000*$H$3</f>
        <v>2038.9829999999999</v>
      </c>
    </row>
    <row r="30" spans="1:9" ht="96" x14ac:dyDescent="0.2">
      <c r="A30" s="522">
        <v>24</v>
      </c>
      <c r="B30" s="537" t="s">
        <v>3305</v>
      </c>
      <c r="C30" s="520" t="s">
        <v>3351</v>
      </c>
      <c r="D30" s="519" t="s">
        <v>957</v>
      </c>
      <c r="E30" s="520" t="s">
        <v>1128</v>
      </c>
      <c r="F30" s="113" t="s">
        <v>177</v>
      </c>
      <c r="G30" s="113" t="s">
        <v>177</v>
      </c>
      <c r="H30" s="534">
        <f>(218300/1.18)/1000*$H$3</f>
        <v>185</v>
      </c>
      <c r="I30" s="534">
        <f>H30-(0)/1000*$H$3</f>
        <v>185</v>
      </c>
    </row>
    <row r="31" spans="1:9" ht="96" x14ac:dyDescent="0.2">
      <c r="A31" s="522">
        <v>25</v>
      </c>
      <c r="B31" s="537" t="s">
        <v>3325</v>
      </c>
      <c r="C31" s="520" t="s">
        <v>3351</v>
      </c>
      <c r="D31" s="519" t="s">
        <v>958</v>
      </c>
      <c r="E31" s="520" t="s">
        <v>1129</v>
      </c>
      <c r="F31" s="113" t="s">
        <v>177</v>
      </c>
      <c r="G31" s="113" t="s">
        <v>54</v>
      </c>
      <c r="H31" s="534">
        <f>(390000)/1000*$H$3</f>
        <v>390</v>
      </c>
      <c r="I31" s="534">
        <f>H31-(0)/1000*$H$3</f>
        <v>390</v>
      </c>
    </row>
    <row r="32" spans="1:9" ht="120" x14ac:dyDescent="0.2">
      <c r="A32" s="522">
        <v>26</v>
      </c>
      <c r="B32" s="537" t="s">
        <v>3352</v>
      </c>
      <c r="C32" s="520" t="s">
        <v>3296</v>
      </c>
      <c r="D32" s="519" t="s">
        <v>401</v>
      </c>
      <c r="E32" s="520" t="s">
        <v>3353</v>
      </c>
      <c r="F32" s="113" t="s">
        <v>177</v>
      </c>
      <c r="G32" s="113" t="s">
        <v>177</v>
      </c>
      <c r="H32" s="534">
        <f>(1750000)/1000*$H$3</f>
        <v>1750</v>
      </c>
      <c r="I32" s="534">
        <f>H32-(0)/1000*$H$3</f>
        <v>1750</v>
      </c>
    </row>
    <row r="33" spans="1:9" ht="108" x14ac:dyDescent="0.2">
      <c r="A33" s="522">
        <v>27</v>
      </c>
      <c r="B33" s="537" t="s">
        <v>3413</v>
      </c>
      <c r="C33" s="520" t="s">
        <v>3354</v>
      </c>
      <c r="D33" s="519" t="s">
        <v>448</v>
      </c>
      <c r="E33" s="520" t="s">
        <v>3355</v>
      </c>
      <c r="F33" s="113" t="s">
        <v>177</v>
      </c>
      <c r="G33" s="113" t="s">
        <v>48</v>
      </c>
      <c r="H33" s="534">
        <f>(24894319)/1000*$H$3</f>
        <v>24894.319</v>
      </c>
      <c r="I33" s="534">
        <f>H33-(1597047)/1000*$H$3</f>
        <v>23297.272000000001</v>
      </c>
    </row>
    <row r="34" spans="1:9" ht="60" x14ac:dyDescent="0.2">
      <c r="A34" s="522">
        <v>28</v>
      </c>
      <c r="B34" s="537" t="s">
        <v>3356</v>
      </c>
      <c r="C34" s="521" t="s">
        <v>3357</v>
      </c>
      <c r="D34" s="519" t="s">
        <v>1449</v>
      </c>
      <c r="E34" s="520" t="s">
        <v>1454</v>
      </c>
      <c r="F34" s="113" t="s">
        <v>177</v>
      </c>
      <c r="G34" s="113" t="s">
        <v>179</v>
      </c>
      <c r="H34" s="534">
        <f>(6175000)/1000*$H$3</f>
        <v>6175</v>
      </c>
      <c r="I34" s="534">
        <f>H34-(0)/1000*$H$3</f>
        <v>6175</v>
      </c>
    </row>
    <row r="35" spans="1:9" ht="60" x14ac:dyDescent="0.2">
      <c r="A35" s="522">
        <v>29</v>
      </c>
      <c r="B35" s="537" t="s">
        <v>3356</v>
      </c>
      <c r="C35" s="521" t="s">
        <v>3357</v>
      </c>
      <c r="D35" s="519" t="s">
        <v>1450</v>
      </c>
      <c r="E35" s="520" t="s">
        <v>3358</v>
      </c>
      <c r="F35" s="113" t="s">
        <v>177</v>
      </c>
      <c r="G35" s="113" t="s">
        <v>8</v>
      </c>
      <c r="H35" s="534">
        <f>(2850000)/1000*$H$3</f>
        <v>2850</v>
      </c>
      <c r="I35" s="534">
        <f>H35-(0)/1000*$H$3</f>
        <v>2850</v>
      </c>
    </row>
    <row r="36" spans="1:9" ht="132" x14ac:dyDescent="0.2">
      <c r="A36" s="522">
        <v>30</v>
      </c>
      <c r="B36" s="537" t="s">
        <v>3414</v>
      </c>
      <c r="C36" s="520" t="s">
        <v>3360</v>
      </c>
      <c r="D36" s="519" t="s">
        <v>1193</v>
      </c>
      <c r="E36" s="520" t="s">
        <v>3359</v>
      </c>
      <c r="F36" s="113" t="s">
        <v>410</v>
      </c>
      <c r="G36" s="113" t="s">
        <v>48</v>
      </c>
      <c r="H36" s="534">
        <f>(6000000)/1000*$H$3</f>
        <v>6000</v>
      </c>
      <c r="I36" s="534">
        <f>H36-(584574)/1000*$H$3</f>
        <v>5415.4260000000004</v>
      </c>
    </row>
    <row r="37" spans="1:9" ht="120" x14ac:dyDescent="0.2">
      <c r="A37" s="522">
        <v>31</v>
      </c>
      <c r="B37" s="537" t="s">
        <v>3361</v>
      </c>
      <c r="C37" s="520" t="s">
        <v>3362</v>
      </c>
      <c r="D37" s="519" t="s">
        <v>412</v>
      </c>
      <c r="E37" s="520" t="s">
        <v>1240</v>
      </c>
      <c r="F37" s="113" t="s">
        <v>410</v>
      </c>
      <c r="G37" s="113" t="s">
        <v>410</v>
      </c>
      <c r="H37" s="534">
        <f>(840000)/1000*$H$3</f>
        <v>840</v>
      </c>
      <c r="I37" s="534">
        <f>H37-(0)/1000*$H$3</f>
        <v>840</v>
      </c>
    </row>
    <row r="38" spans="1:9" ht="72" x14ac:dyDescent="0.2">
      <c r="A38" s="522">
        <v>32</v>
      </c>
      <c r="B38" s="537" t="s">
        <v>3349</v>
      </c>
      <c r="C38" s="520" t="s">
        <v>3388</v>
      </c>
      <c r="D38" s="519" t="s">
        <v>459</v>
      </c>
      <c r="E38" s="520" t="s">
        <v>3363</v>
      </c>
      <c r="F38" s="113" t="s">
        <v>410</v>
      </c>
      <c r="G38" s="518" t="s">
        <v>13</v>
      </c>
      <c r="H38" s="534">
        <f>(2058211.12)/1000*$H$3</f>
        <v>2058.2111199999999</v>
      </c>
      <c r="I38" s="534">
        <f>H38-(0)/1000*$H$3</f>
        <v>2058.2111199999999</v>
      </c>
    </row>
    <row r="39" spans="1:9" ht="108" x14ac:dyDescent="0.2">
      <c r="A39" s="522">
        <v>33</v>
      </c>
      <c r="B39" s="537" t="s">
        <v>3364</v>
      </c>
      <c r="C39" s="520" t="s">
        <v>3365</v>
      </c>
      <c r="D39" s="519" t="s">
        <v>1038</v>
      </c>
      <c r="E39" s="520" t="s">
        <v>3366</v>
      </c>
      <c r="F39" s="113" t="s">
        <v>410</v>
      </c>
      <c r="G39" s="113" t="s">
        <v>127</v>
      </c>
      <c r="H39" s="534">
        <f>(2130356+1597705)/1000*$H$3</f>
        <v>3728.0610000000001</v>
      </c>
      <c r="I39" s="534">
        <f>H39-(0)/1000*$H$3</f>
        <v>3728.0610000000001</v>
      </c>
    </row>
    <row r="40" spans="1:9" ht="96" x14ac:dyDescent="0.2">
      <c r="A40" s="522">
        <v>34</v>
      </c>
      <c r="B40" s="537" t="s">
        <v>3340</v>
      </c>
      <c r="C40" s="517" t="s">
        <v>3367</v>
      </c>
      <c r="D40" s="519" t="s">
        <v>882</v>
      </c>
      <c r="E40" s="520" t="s">
        <v>3368</v>
      </c>
      <c r="F40" s="113" t="s">
        <v>13</v>
      </c>
      <c r="G40" s="113" t="s">
        <v>8</v>
      </c>
      <c r="H40" s="534">
        <f>(2300000)/1000*$H$3</f>
        <v>2300</v>
      </c>
      <c r="I40" s="534">
        <f>H40-(0)/1000*$H$3</f>
        <v>2300</v>
      </c>
    </row>
    <row r="41" spans="1:9" ht="144" x14ac:dyDescent="0.2">
      <c r="A41" s="522">
        <v>35</v>
      </c>
      <c r="B41" s="537" t="s">
        <v>3340</v>
      </c>
      <c r="C41" s="520" t="s">
        <v>3369</v>
      </c>
      <c r="D41" s="519" t="s">
        <v>911</v>
      </c>
      <c r="E41" s="520" t="s">
        <v>3370</v>
      </c>
      <c r="F41" s="113" t="s">
        <v>13</v>
      </c>
      <c r="G41" s="518" t="s">
        <v>48</v>
      </c>
      <c r="H41" s="534">
        <f>(1397275.21)/1000*$H$3</f>
        <v>1397.27521</v>
      </c>
      <c r="I41" s="534">
        <f>H41-(0)/1000*$H$3</f>
        <v>1397.27521</v>
      </c>
    </row>
    <row r="42" spans="1:9" ht="84" x14ac:dyDescent="0.2">
      <c r="A42" s="522">
        <v>36</v>
      </c>
      <c r="B42" s="537" t="s">
        <v>3302</v>
      </c>
      <c r="C42" s="520" t="s">
        <v>3371</v>
      </c>
      <c r="D42" s="519" t="s">
        <v>662</v>
      </c>
      <c r="E42" s="520" t="s">
        <v>3372</v>
      </c>
      <c r="F42" s="113" t="s">
        <v>13</v>
      </c>
      <c r="G42" s="518" t="s">
        <v>1102</v>
      </c>
      <c r="H42" s="534">
        <f>(580672306.54)/1000*$H$3</f>
        <v>580672.30654000002</v>
      </c>
      <c r="I42" s="534">
        <f>H42-(131445396+7611196+8912693+1312680)/1000*$H$3</f>
        <v>431390.34154000005</v>
      </c>
    </row>
    <row r="43" spans="1:9" ht="156" x14ac:dyDescent="0.2">
      <c r="A43" s="522">
        <v>37</v>
      </c>
      <c r="B43" s="537" t="s">
        <v>3415</v>
      </c>
      <c r="C43" s="520" t="s">
        <v>4185</v>
      </c>
      <c r="D43" s="519" t="s">
        <v>944</v>
      </c>
      <c r="E43" s="520" t="s">
        <v>3373</v>
      </c>
      <c r="F43" s="113" t="s">
        <v>13</v>
      </c>
      <c r="G43" s="113" t="s">
        <v>181</v>
      </c>
      <c r="H43" s="534">
        <f>(28683341.69)/1000*$H$3</f>
        <v>28683.341690000001</v>
      </c>
      <c r="I43" s="534">
        <f>H43-(5640762+8136815)/1000*$H$3</f>
        <v>14905.764690000002</v>
      </c>
    </row>
    <row r="44" spans="1:9" ht="144" x14ac:dyDescent="0.2">
      <c r="A44" s="522">
        <v>38</v>
      </c>
      <c r="B44" s="537" t="s">
        <v>3415</v>
      </c>
      <c r="C44" s="520" t="s">
        <v>3374</v>
      </c>
      <c r="D44" s="519" t="s">
        <v>938</v>
      </c>
      <c r="E44" s="520" t="s">
        <v>4174</v>
      </c>
      <c r="F44" s="113" t="s">
        <v>8</v>
      </c>
      <c r="G44" s="113" t="s">
        <v>9</v>
      </c>
      <c r="H44" s="534">
        <f>(33456472)/1000*$H$3</f>
        <v>33456.472000000002</v>
      </c>
      <c r="I44" s="534">
        <f>H44-(0)/1000*$H$3</f>
        <v>33456.472000000002</v>
      </c>
    </row>
    <row r="45" spans="1:9" ht="120" x14ac:dyDescent="0.2">
      <c r="A45" s="522">
        <v>39</v>
      </c>
      <c r="B45" s="537" t="s">
        <v>3415</v>
      </c>
      <c r="C45" s="520" t="s">
        <v>3375</v>
      </c>
      <c r="D45" s="519" t="s">
        <v>946</v>
      </c>
      <c r="E45" s="520" t="s">
        <v>3376</v>
      </c>
      <c r="F45" s="113" t="s">
        <v>8</v>
      </c>
      <c r="G45" s="113" t="s">
        <v>295</v>
      </c>
      <c r="H45" s="534">
        <f>(2645492)/1000*$H$3</f>
        <v>2645.4920000000002</v>
      </c>
      <c r="I45" s="534">
        <f>H45-(0)/1000*$H$3</f>
        <v>2645.4920000000002</v>
      </c>
    </row>
    <row r="46" spans="1:9" ht="108" x14ac:dyDescent="0.2">
      <c r="A46" s="522">
        <v>40</v>
      </c>
      <c r="B46" s="537" t="s">
        <v>3312</v>
      </c>
      <c r="C46" s="520" t="s">
        <v>3354</v>
      </c>
      <c r="D46" s="519" t="s">
        <v>440</v>
      </c>
      <c r="E46" s="520" t="s">
        <v>3377</v>
      </c>
      <c r="F46" s="113" t="s">
        <v>8</v>
      </c>
      <c r="G46" s="113" t="s">
        <v>56</v>
      </c>
      <c r="H46" s="534">
        <f>(24083149)/1000*$H$3</f>
        <v>24083.149000000001</v>
      </c>
      <c r="I46" s="534">
        <f>H46-(0)/1000*$H$3</f>
        <v>24083.149000000001</v>
      </c>
    </row>
    <row r="47" spans="1:9" ht="72" x14ac:dyDescent="0.2">
      <c r="A47" s="522">
        <v>41</v>
      </c>
      <c r="B47" s="537" t="s">
        <v>3349</v>
      </c>
      <c r="C47" s="520" t="s">
        <v>3387</v>
      </c>
      <c r="D47" s="519" t="s">
        <v>468</v>
      </c>
      <c r="E47" s="520" t="s">
        <v>3327</v>
      </c>
      <c r="F47" s="113" t="s">
        <v>8</v>
      </c>
      <c r="G47" s="518" t="s">
        <v>14</v>
      </c>
      <c r="H47" s="534">
        <f>(130768063)/1000*$H$3</f>
        <v>130768.06299999999</v>
      </c>
      <c r="I47" s="534">
        <f>H47-(25018370+1469829+12347573)/1000*$H$3</f>
        <v>91932.290999999997</v>
      </c>
    </row>
    <row r="48" spans="1:9" ht="72" x14ac:dyDescent="0.2">
      <c r="A48" s="522">
        <v>42</v>
      </c>
      <c r="B48" s="537" t="s">
        <v>3349</v>
      </c>
      <c r="C48" s="520" t="s">
        <v>3387</v>
      </c>
      <c r="D48" s="519" t="s">
        <v>460</v>
      </c>
      <c r="E48" s="520" t="s">
        <v>3378</v>
      </c>
      <c r="F48" s="113" t="s">
        <v>295</v>
      </c>
      <c r="G48" s="518" t="s">
        <v>48</v>
      </c>
      <c r="H48" s="534">
        <f>(2633979.11)/1000*$H$3</f>
        <v>2633.9791099999998</v>
      </c>
      <c r="I48" s="534">
        <f>H48-(0)/1000*$H$3</f>
        <v>2633.9791099999998</v>
      </c>
    </row>
    <row r="49" spans="1:9" ht="96" x14ac:dyDescent="0.2">
      <c r="A49" s="522">
        <v>43</v>
      </c>
      <c r="B49" s="537" t="s">
        <v>3416</v>
      </c>
      <c r="C49" s="520" t="s">
        <v>3379</v>
      </c>
      <c r="D49" s="519" t="s">
        <v>811</v>
      </c>
      <c r="E49" s="521" t="s">
        <v>3380</v>
      </c>
      <c r="F49" s="113" t="s">
        <v>48</v>
      </c>
      <c r="G49" s="113" t="s">
        <v>52</v>
      </c>
      <c r="H49" s="534">
        <f>(3127000/1.18)/1000*$H$3</f>
        <v>2650</v>
      </c>
      <c r="I49" s="534">
        <f>H49-(0)/1000*$H$3</f>
        <v>2650</v>
      </c>
    </row>
    <row r="50" spans="1:9" ht="132" x14ac:dyDescent="0.2">
      <c r="A50" s="522">
        <v>44</v>
      </c>
      <c r="B50" s="537" t="s">
        <v>3415</v>
      </c>
      <c r="C50" s="520" t="s">
        <v>3381</v>
      </c>
      <c r="D50" s="519" t="s">
        <v>546</v>
      </c>
      <c r="E50" s="520" t="s">
        <v>3382</v>
      </c>
      <c r="F50" s="113" t="s">
        <v>48</v>
      </c>
      <c r="G50" s="113" t="s">
        <v>9</v>
      </c>
      <c r="H50" s="534">
        <f>(96537111)/1000*$H$3</f>
        <v>96537.111000000004</v>
      </c>
      <c r="I50" s="534">
        <f>H50-(0)/1000*$H$3</f>
        <v>96537.111000000004</v>
      </c>
    </row>
    <row r="51" spans="1:9" ht="96" x14ac:dyDescent="0.2">
      <c r="A51" s="522">
        <v>45</v>
      </c>
      <c r="B51" s="537" t="s">
        <v>3302</v>
      </c>
      <c r="C51" s="520" t="s">
        <v>4184</v>
      </c>
      <c r="D51" s="519" t="s">
        <v>950</v>
      </c>
      <c r="E51" s="520" t="s">
        <v>3383</v>
      </c>
      <c r="F51" s="113" t="s">
        <v>36</v>
      </c>
      <c r="G51" s="113" t="s">
        <v>37</v>
      </c>
      <c r="H51" s="534">
        <v>8400</v>
      </c>
      <c r="I51" s="534">
        <v>8400</v>
      </c>
    </row>
    <row r="52" spans="1:9" ht="96" x14ac:dyDescent="0.2">
      <c r="A52" s="522">
        <v>46</v>
      </c>
      <c r="B52" s="537" t="s">
        <v>3417</v>
      </c>
      <c r="C52" s="520" t="s">
        <v>3384</v>
      </c>
      <c r="D52" s="519" t="s">
        <v>960</v>
      </c>
      <c r="E52" s="520" t="s">
        <v>3385</v>
      </c>
      <c r="F52" s="113" t="s">
        <v>179</v>
      </c>
      <c r="G52" s="113" t="s">
        <v>52</v>
      </c>
      <c r="H52" s="534">
        <f>(731598.82/1.18)/1000*$H$3</f>
        <v>619.99900000000002</v>
      </c>
      <c r="I52" s="534">
        <f>H52-(0)/1000*$H$3</f>
        <v>619.99900000000002</v>
      </c>
    </row>
    <row r="53" spans="1:9" ht="96" x14ac:dyDescent="0.2">
      <c r="A53" s="522">
        <v>47</v>
      </c>
      <c r="B53" s="537" t="s">
        <v>3349</v>
      </c>
      <c r="C53" s="520" t="s">
        <v>3386</v>
      </c>
      <c r="D53" s="519" t="s">
        <v>471</v>
      </c>
      <c r="E53" s="520" t="s">
        <v>4175</v>
      </c>
      <c r="F53" s="113" t="s">
        <v>179</v>
      </c>
      <c r="G53" s="113" t="s">
        <v>7</v>
      </c>
      <c r="H53" s="534">
        <f>(5544496)/1000*$H$3</f>
        <v>5544.4960000000001</v>
      </c>
      <c r="I53" s="534">
        <f>H53-(0)/1000*$H$3</f>
        <v>5544.4960000000001</v>
      </c>
    </row>
    <row r="54" spans="1:9" ht="96" x14ac:dyDescent="0.2">
      <c r="A54" s="522">
        <v>48</v>
      </c>
      <c r="B54" s="537" t="s">
        <v>3416</v>
      </c>
      <c r="C54" s="520" t="s">
        <v>3391</v>
      </c>
      <c r="D54" s="519" t="s">
        <v>813</v>
      </c>
      <c r="E54" s="520" t="s">
        <v>1045</v>
      </c>
      <c r="F54" s="113" t="s">
        <v>12</v>
      </c>
      <c r="G54" s="113" t="s">
        <v>49</v>
      </c>
      <c r="H54" s="534">
        <f>(11142291.6/1.18)/1000*$H$3</f>
        <v>9442.6200000000008</v>
      </c>
      <c r="I54" s="534">
        <f>H54-(7388413.6)/1000*$H$3</f>
        <v>2054.2064000000009</v>
      </c>
    </row>
    <row r="55" spans="1:9" ht="132" x14ac:dyDescent="0.2">
      <c r="A55" s="522">
        <v>49</v>
      </c>
      <c r="B55" s="537" t="s">
        <v>3415</v>
      </c>
      <c r="C55" s="520" t="s">
        <v>3392</v>
      </c>
      <c r="D55" s="519" t="s">
        <v>947</v>
      </c>
      <c r="E55" s="520" t="s">
        <v>3393</v>
      </c>
      <c r="F55" s="113" t="s">
        <v>12</v>
      </c>
      <c r="G55" s="113" t="s">
        <v>25</v>
      </c>
      <c r="H55" s="534">
        <f>(6953730.8)/1000*$H$3</f>
        <v>6953.7307999999994</v>
      </c>
      <c r="I55" s="534">
        <f t="shared" ref="I55:I62" si="0">H55-(0)/1000*$H$3</f>
        <v>6953.7307999999994</v>
      </c>
    </row>
    <row r="56" spans="1:9" ht="96" x14ac:dyDescent="0.2">
      <c r="A56" s="522">
        <v>50</v>
      </c>
      <c r="B56" s="537" t="s">
        <v>3418</v>
      </c>
      <c r="C56" s="520" t="s">
        <v>3384</v>
      </c>
      <c r="D56" s="519" t="s">
        <v>959</v>
      </c>
      <c r="E56" s="520" t="s">
        <v>1130</v>
      </c>
      <c r="F56" s="113" t="s">
        <v>12</v>
      </c>
      <c r="G56" s="113" t="s">
        <v>12</v>
      </c>
      <c r="H56" s="534">
        <f>(279660/1.18)/1000*$H$3</f>
        <v>237</v>
      </c>
      <c r="I56" s="534">
        <f t="shared" si="0"/>
        <v>237</v>
      </c>
    </row>
    <row r="57" spans="1:9" ht="120" x14ac:dyDescent="0.2">
      <c r="A57" s="522">
        <v>51</v>
      </c>
      <c r="B57" s="537" t="s">
        <v>3394</v>
      </c>
      <c r="C57" s="520" t="s">
        <v>3362</v>
      </c>
      <c r="D57" s="519" t="s">
        <v>425</v>
      </c>
      <c r="E57" s="520" t="s">
        <v>3395</v>
      </c>
      <c r="F57" s="113" t="s">
        <v>12</v>
      </c>
      <c r="G57" s="113" t="s">
        <v>52</v>
      </c>
      <c r="H57" s="534">
        <f>(1150000)/1000*$H$3</f>
        <v>1150</v>
      </c>
      <c r="I57" s="534">
        <f t="shared" si="0"/>
        <v>1150</v>
      </c>
    </row>
    <row r="58" spans="1:9" ht="120" x14ac:dyDescent="0.2">
      <c r="A58" s="522">
        <v>52</v>
      </c>
      <c r="B58" s="537" t="s">
        <v>3396</v>
      </c>
      <c r="C58" s="520" t="s">
        <v>3362</v>
      </c>
      <c r="D58" s="519" t="s">
        <v>424</v>
      </c>
      <c r="E58" s="520" t="s">
        <v>3397</v>
      </c>
      <c r="F58" s="113" t="s">
        <v>12</v>
      </c>
      <c r="G58" s="113" t="s">
        <v>52</v>
      </c>
      <c r="H58" s="534">
        <f>(1291000)/1000*$H$3</f>
        <v>1291</v>
      </c>
      <c r="I58" s="534">
        <f t="shared" si="0"/>
        <v>1291</v>
      </c>
    </row>
    <row r="59" spans="1:9" ht="96" x14ac:dyDescent="0.2">
      <c r="A59" s="522">
        <v>53</v>
      </c>
      <c r="B59" s="537" t="s">
        <v>3398</v>
      </c>
      <c r="C59" s="520" t="s">
        <v>3384</v>
      </c>
      <c r="D59" s="519" t="s">
        <v>961</v>
      </c>
      <c r="E59" s="520" t="s">
        <v>1132</v>
      </c>
      <c r="F59" s="113" t="s">
        <v>181</v>
      </c>
      <c r="G59" s="113" t="s">
        <v>51</v>
      </c>
      <c r="H59" s="534">
        <f>(70800/1.18)/1000*$H$3</f>
        <v>60</v>
      </c>
      <c r="I59" s="534">
        <f t="shared" si="0"/>
        <v>60</v>
      </c>
    </row>
    <row r="60" spans="1:9" ht="96" x14ac:dyDescent="0.2">
      <c r="A60" s="522">
        <v>54</v>
      </c>
      <c r="B60" s="537" t="s">
        <v>3399</v>
      </c>
      <c r="C60" s="520" t="s">
        <v>3400</v>
      </c>
      <c r="D60" s="519" t="s">
        <v>979</v>
      </c>
      <c r="E60" s="521" t="s">
        <v>3401</v>
      </c>
      <c r="F60" s="113" t="s">
        <v>181</v>
      </c>
      <c r="G60" s="113" t="s">
        <v>54</v>
      </c>
      <c r="H60" s="534">
        <f>(689928.84)/1000*$H$3</f>
        <v>689.92883999999992</v>
      </c>
      <c r="I60" s="534">
        <f t="shared" si="0"/>
        <v>689.92883999999992</v>
      </c>
    </row>
    <row r="61" spans="1:9" ht="96" x14ac:dyDescent="0.2">
      <c r="A61" s="522">
        <v>55</v>
      </c>
      <c r="B61" s="537" t="s">
        <v>3399</v>
      </c>
      <c r="C61" s="520" t="s">
        <v>3400</v>
      </c>
      <c r="D61" s="519" t="s">
        <v>980</v>
      </c>
      <c r="E61" s="521" t="s">
        <v>3402</v>
      </c>
      <c r="F61" s="113" t="s">
        <v>181</v>
      </c>
      <c r="G61" s="113" t="s">
        <v>54</v>
      </c>
      <c r="H61" s="534">
        <f>(669986.7)/1000*$H$3</f>
        <v>669.98669999999993</v>
      </c>
      <c r="I61" s="534">
        <f t="shared" si="0"/>
        <v>669.98669999999993</v>
      </c>
    </row>
    <row r="62" spans="1:9" ht="132" x14ac:dyDescent="0.2">
      <c r="A62" s="522">
        <v>56</v>
      </c>
      <c r="B62" s="539" t="s">
        <v>3419</v>
      </c>
      <c r="C62" s="520" t="s">
        <v>3403</v>
      </c>
      <c r="D62" s="519" t="s">
        <v>1203</v>
      </c>
      <c r="E62" s="520" t="s">
        <v>3336</v>
      </c>
      <c r="F62" s="113" t="s">
        <v>181</v>
      </c>
      <c r="G62" s="113" t="s">
        <v>7</v>
      </c>
      <c r="H62" s="534">
        <f>(16900000)/1000*$H$3</f>
        <v>16900</v>
      </c>
      <c r="I62" s="534">
        <f t="shared" si="0"/>
        <v>16900</v>
      </c>
    </row>
    <row r="63" spans="1:9" ht="132" x14ac:dyDescent="0.2">
      <c r="A63" s="522">
        <v>57</v>
      </c>
      <c r="B63" s="539" t="s">
        <v>3410</v>
      </c>
      <c r="C63" s="520" t="s">
        <v>3404</v>
      </c>
      <c r="D63" s="519" t="s">
        <v>1206</v>
      </c>
      <c r="E63" s="520" t="s">
        <v>3405</v>
      </c>
      <c r="F63" s="113" t="s">
        <v>181</v>
      </c>
      <c r="G63" s="113" t="s">
        <v>54</v>
      </c>
      <c r="H63" s="534">
        <f>(2100000)/1000*$H$3</f>
        <v>2100</v>
      </c>
      <c r="I63" s="534">
        <f>H63-(300000)/1000*$H$3</f>
        <v>1800</v>
      </c>
    </row>
    <row r="64" spans="1:9" ht="96" x14ac:dyDescent="0.2">
      <c r="A64" s="522">
        <v>58</v>
      </c>
      <c r="B64" s="537" t="s">
        <v>3313</v>
      </c>
      <c r="C64" s="520" t="s">
        <v>3406</v>
      </c>
      <c r="D64" s="519" t="s">
        <v>815</v>
      </c>
      <c r="E64" s="521" t="s">
        <v>3407</v>
      </c>
      <c r="F64" s="113" t="s">
        <v>51</v>
      </c>
      <c r="G64" s="113" t="s">
        <v>52</v>
      </c>
      <c r="H64" s="534">
        <f>(3600000)/1000*$H$3</f>
        <v>3600</v>
      </c>
      <c r="I64" s="534">
        <f>H64-(0)/1000*$H$3</f>
        <v>3600</v>
      </c>
    </row>
    <row r="65" spans="1:9" ht="96" x14ac:dyDescent="0.2">
      <c r="A65" s="522">
        <v>59</v>
      </c>
      <c r="B65" s="537" t="s">
        <v>3307</v>
      </c>
      <c r="C65" s="517" t="s">
        <v>3408</v>
      </c>
      <c r="D65" s="519" t="s">
        <v>885</v>
      </c>
      <c r="E65" s="520" t="s">
        <v>3409</v>
      </c>
      <c r="F65" s="113" t="s">
        <v>51</v>
      </c>
      <c r="G65" s="113" t="s">
        <v>56</v>
      </c>
      <c r="H65" s="534">
        <f>(2300000)/1000*$H$3</f>
        <v>2300</v>
      </c>
      <c r="I65" s="534">
        <f>H65-(61506)/1000*$H$3</f>
        <v>2238.4940000000001</v>
      </c>
    </row>
    <row r="66" spans="1:9" ht="96" x14ac:dyDescent="0.2">
      <c r="A66" s="522">
        <v>60</v>
      </c>
      <c r="B66" s="537" t="s">
        <v>3307</v>
      </c>
      <c r="C66" s="517" t="s">
        <v>3421</v>
      </c>
      <c r="D66" s="519" t="s">
        <v>886</v>
      </c>
      <c r="E66" s="521" t="s">
        <v>253</v>
      </c>
      <c r="F66" s="113" t="s">
        <v>51</v>
      </c>
      <c r="G66" s="113" t="s">
        <v>124</v>
      </c>
      <c r="H66" s="534">
        <f>(2300000)/1000*$H$3</f>
        <v>2300</v>
      </c>
      <c r="I66" s="534">
        <f>H66-(0)/1000*$H$3</f>
        <v>2300</v>
      </c>
    </row>
    <row r="67" spans="1:9" ht="132" x14ac:dyDescent="0.2">
      <c r="A67" s="522">
        <v>61</v>
      </c>
      <c r="B67" s="537" t="s">
        <v>3420</v>
      </c>
      <c r="C67" s="520" t="s">
        <v>3422</v>
      </c>
      <c r="D67" s="519" t="s">
        <v>1210</v>
      </c>
      <c r="E67" s="520" t="s">
        <v>1209</v>
      </c>
      <c r="F67" s="113" t="s">
        <v>51</v>
      </c>
      <c r="G67" s="113" t="s">
        <v>52</v>
      </c>
      <c r="H67" s="534">
        <f>(6478556)/1000*$H$3</f>
        <v>6478.5559999999996</v>
      </c>
      <c r="I67" s="534">
        <f>H67-(5170957)/1000*$H$3</f>
        <v>1307.5989999999993</v>
      </c>
    </row>
    <row r="68" spans="1:9" ht="96" x14ac:dyDescent="0.2">
      <c r="A68" s="522">
        <v>62</v>
      </c>
      <c r="B68" s="537" t="s">
        <v>3307</v>
      </c>
      <c r="C68" s="517" t="s">
        <v>3423</v>
      </c>
      <c r="D68" s="519" t="s">
        <v>888</v>
      </c>
      <c r="E68" s="520" t="s">
        <v>3424</v>
      </c>
      <c r="F68" s="113" t="s">
        <v>49</v>
      </c>
      <c r="G68" s="113" t="s">
        <v>25</v>
      </c>
      <c r="H68" s="534">
        <f>(4600000)/1000*$H$3</f>
        <v>4600</v>
      </c>
      <c r="I68" s="534">
        <f>H68-(32790)/1000*$H$3</f>
        <v>4567.21</v>
      </c>
    </row>
    <row r="69" spans="1:9" ht="132" x14ac:dyDescent="0.2">
      <c r="A69" s="522">
        <v>63</v>
      </c>
      <c r="B69" s="539" t="s">
        <v>3425</v>
      </c>
      <c r="C69" s="520" t="s">
        <v>3426</v>
      </c>
      <c r="D69" s="519" t="s">
        <v>1221</v>
      </c>
      <c r="E69" s="520" t="s">
        <v>3427</v>
      </c>
      <c r="F69" s="113" t="s">
        <v>49</v>
      </c>
      <c r="G69" s="113" t="s">
        <v>9</v>
      </c>
      <c r="H69" s="534">
        <f>(777000)/1000*$H$3</f>
        <v>777</v>
      </c>
      <c r="I69" s="534">
        <f t="shared" ref="I69:I74" si="1">H69-(0)/1000*$H$3</f>
        <v>777</v>
      </c>
    </row>
    <row r="70" spans="1:9" ht="120" x14ac:dyDescent="0.2">
      <c r="A70" s="522">
        <v>64</v>
      </c>
      <c r="B70" s="537" t="s">
        <v>3428</v>
      </c>
      <c r="C70" s="520" t="s">
        <v>3362</v>
      </c>
      <c r="D70" s="519" t="s">
        <v>423</v>
      </c>
      <c r="E70" s="520" t="s">
        <v>3429</v>
      </c>
      <c r="F70" s="113" t="s">
        <v>49</v>
      </c>
      <c r="G70" s="113" t="s">
        <v>52</v>
      </c>
      <c r="H70" s="534">
        <f>(1227945)/1000*$H$3</f>
        <v>1227.9449999999999</v>
      </c>
      <c r="I70" s="534">
        <f t="shared" si="1"/>
        <v>1227.9449999999999</v>
      </c>
    </row>
    <row r="71" spans="1:9" ht="60" x14ac:dyDescent="0.2">
      <c r="A71" s="522">
        <v>65</v>
      </c>
      <c r="B71" s="537" t="s">
        <v>3430</v>
      </c>
      <c r="C71" s="520" t="s">
        <v>3431</v>
      </c>
      <c r="D71" s="519" t="s">
        <v>573</v>
      </c>
      <c r="E71" s="520" t="s">
        <v>1367</v>
      </c>
      <c r="F71" s="113" t="s">
        <v>49</v>
      </c>
      <c r="G71" s="113" t="s">
        <v>7</v>
      </c>
      <c r="H71" s="534">
        <f>(7958431)/1000*$H$3</f>
        <v>7958.4309999999996</v>
      </c>
      <c r="I71" s="534">
        <f t="shared" si="1"/>
        <v>7958.4309999999996</v>
      </c>
    </row>
    <row r="72" spans="1:9" ht="60" x14ac:dyDescent="0.2">
      <c r="A72" s="522">
        <v>66</v>
      </c>
      <c r="B72" s="537" t="s">
        <v>3432</v>
      </c>
      <c r="C72" s="517" t="s">
        <v>3433</v>
      </c>
      <c r="D72" s="516" t="s">
        <v>1460</v>
      </c>
      <c r="E72" s="517" t="s">
        <v>3434</v>
      </c>
      <c r="F72" s="113" t="s">
        <v>49</v>
      </c>
      <c r="G72" s="113" t="s">
        <v>78</v>
      </c>
      <c r="H72" s="534">
        <f>(946726)/1000*$H$3</f>
        <v>946.726</v>
      </c>
      <c r="I72" s="534">
        <f t="shared" si="1"/>
        <v>946.726</v>
      </c>
    </row>
    <row r="73" spans="1:9" ht="138" customHeight="1" x14ac:dyDescent="0.2">
      <c r="A73" s="522">
        <v>67</v>
      </c>
      <c r="B73" s="537" t="s">
        <v>3435</v>
      </c>
      <c r="C73" s="520" t="s">
        <v>3436</v>
      </c>
      <c r="D73" s="519" t="s">
        <v>854</v>
      </c>
      <c r="E73" s="520" t="s">
        <v>3437</v>
      </c>
      <c r="F73" s="113" t="s">
        <v>78</v>
      </c>
      <c r="G73" s="113" t="s">
        <v>7</v>
      </c>
      <c r="H73" s="534">
        <f>(3293513)/1000*$H$3</f>
        <v>3293.5129999999999</v>
      </c>
      <c r="I73" s="534">
        <f t="shared" si="1"/>
        <v>3293.5129999999999</v>
      </c>
    </row>
    <row r="74" spans="1:9" ht="144" x14ac:dyDescent="0.2">
      <c r="A74" s="522">
        <v>68</v>
      </c>
      <c r="B74" s="537" t="s">
        <v>3307</v>
      </c>
      <c r="C74" s="520" t="s">
        <v>3438</v>
      </c>
      <c r="D74" s="519" t="s">
        <v>912</v>
      </c>
      <c r="E74" s="520" t="s">
        <v>3439</v>
      </c>
      <c r="F74" s="113" t="s">
        <v>78</v>
      </c>
      <c r="G74" s="518" t="s">
        <v>52</v>
      </c>
      <c r="H74" s="534">
        <f>(1460000)/1000*$H$3</f>
        <v>1460</v>
      </c>
      <c r="I74" s="534">
        <f t="shared" si="1"/>
        <v>1460</v>
      </c>
    </row>
    <row r="75" spans="1:9" ht="132" x14ac:dyDescent="0.2">
      <c r="A75" s="522">
        <v>69</v>
      </c>
      <c r="B75" s="537" t="s">
        <v>3440</v>
      </c>
      <c r="C75" s="520" t="s">
        <v>3441</v>
      </c>
      <c r="D75" s="519" t="s">
        <v>1195</v>
      </c>
      <c r="E75" s="520" t="s">
        <v>3442</v>
      </c>
      <c r="F75" s="113" t="s">
        <v>78</v>
      </c>
      <c r="G75" s="113" t="s">
        <v>11</v>
      </c>
      <c r="H75" s="534">
        <f>(43638688)/1000*$H$3</f>
        <v>43638.688000000002</v>
      </c>
      <c r="I75" s="534">
        <f>H75-(1856603+12527+625000)/1000*$H$3</f>
        <v>41144.558000000005</v>
      </c>
    </row>
    <row r="76" spans="1:9" ht="132" x14ac:dyDescent="0.2">
      <c r="A76" s="522">
        <v>70</v>
      </c>
      <c r="B76" s="539" t="s">
        <v>3443</v>
      </c>
      <c r="C76" s="520" t="s">
        <v>3444</v>
      </c>
      <c r="D76" s="519" t="s">
        <v>1222</v>
      </c>
      <c r="E76" s="520" t="s">
        <v>3445</v>
      </c>
      <c r="F76" s="113" t="s">
        <v>78</v>
      </c>
      <c r="G76" s="113" t="s">
        <v>95</v>
      </c>
      <c r="H76" s="534">
        <f>(24038994)/1000*$H$3</f>
        <v>24038.993999999999</v>
      </c>
      <c r="I76" s="534">
        <f>H76-(2293986+1543444+4453835)/1000*$H$3</f>
        <v>15747.728999999999</v>
      </c>
    </row>
    <row r="77" spans="1:9" ht="72" x14ac:dyDescent="0.2">
      <c r="A77" s="522">
        <v>71</v>
      </c>
      <c r="B77" s="537" t="s">
        <v>3446</v>
      </c>
      <c r="C77" s="520" t="s">
        <v>3386</v>
      </c>
      <c r="D77" s="519" t="s">
        <v>473</v>
      </c>
      <c r="E77" s="520" t="s">
        <v>4176</v>
      </c>
      <c r="F77" s="113" t="s">
        <v>78</v>
      </c>
      <c r="G77" s="113" t="s">
        <v>78</v>
      </c>
      <c r="H77" s="534">
        <f>(829818)/1000*$H$3</f>
        <v>829.81799999999998</v>
      </c>
      <c r="I77" s="534">
        <f>H77-(0)/1000*$H$3</f>
        <v>829.81799999999998</v>
      </c>
    </row>
    <row r="78" spans="1:9" ht="156" x14ac:dyDescent="0.2">
      <c r="A78" s="522">
        <v>72</v>
      </c>
      <c r="B78" s="537" t="s">
        <v>3435</v>
      </c>
      <c r="C78" s="520" t="s">
        <v>3447</v>
      </c>
      <c r="D78" s="519" t="s">
        <v>2566</v>
      </c>
      <c r="E78" s="520" t="s">
        <v>3448</v>
      </c>
      <c r="F78" s="113" t="s">
        <v>124</v>
      </c>
      <c r="G78" s="113" t="s">
        <v>56</v>
      </c>
      <c r="H78" s="534">
        <f>(407667.34/1.18)/1000*$H$3</f>
        <v>345.48079661016953</v>
      </c>
      <c r="I78" s="534">
        <f>H78</f>
        <v>345.48079661016953</v>
      </c>
    </row>
    <row r="79" spans="1:9" ht="96" x14ac:dyDescent="0.2">
      <c r="A79" s="522">
        <v>73</v>
      </c>
      <c r="B79" s="537" t="s">
        <v>3307</v>
      </c>
      <c r="C79" s="517" t="s">
        <v>3423</v>
      </c>
      <c r="D79" s="519" t="s">
        <v>1068</v>
      </c>
      <c r="E79" s="521" t="s">
        <v>890</v>
      </c>
      <c r="F79" s="113" t="s">
        <v>124</v>
      </c>
      <c r="G79" s="113" t="s">
        <v>129</v>
      </c>
      <c r="H79" s="534">
        <f>(1416000/1.18)/1000*$H$3</f>
        <v>1200</v>
      </c>
      <c r="I79" s="534">
        <f>H79-(0)/1000*$H$3</f>
        <v>1200</v>
      </c>
    </row>
    <row r="80" spans="1:9" ht="132" x14ac:dyDescent="0.2">
      <c r="A80" s="522">
        <v>74</v>
      </c>
      <c r="B80" s="537" t="s">
        <v>4183</v>
      </c>
      <c r="C80" s="520" t="s">
        <v>3449</v>
      </c>
      <c r="D80" s="519" t="s">
        <v>1220</v>
      </c>
      <c r="E80" s="520" t="s">
        <v>1215</v>
      </c>
      <c r="F80" s="113" t="s">
        <v>124</v>
      </c>
      <c r="G80" s="113" t="s">
        <v>35</v>
      </c>
      <c r="H80" s="534">
        <f>(5116926)/1000*$H$3</f>
        <v>5116.9260000000004</v>
      </c>
      <c r="I80" s="534">
        <f>H80-(199477+243074)/1000*$H$3</f>
        <v>4674.375</v>
      </c>
    </row>
    <row r="81" spans="1:9" ht="120" x14ac:dyDescent="0.2">
      <c r="A81" s="522">
        <v>75</v>
      </c>
      <c r="B81" s="537" t="s">
        <v>3450</v>
      </c>
      <c r="C81" s="520" t="s">
        <v>3451</v>
      </c>
      <c r="D81" s="519" t="s">
        <v>1000</v>
      </c>
      <c r="E81" s="520" t="s">
        <v>3452</v>
      </c>
      <c r="F81" s="113" t="s">
        <v>124</v>
      </c>
      <c r="G81" s="113" t="s">
        <v>54</v>
      </c>
      <c r="H81" s="534">
        <f>(1490000)/1000*$H$3</f>
        <v>1490</v>
      </c>
      <c r="I81" s="534">
        <f>H81-(0)/1000*$H$3</f>
        <v>1490</v>
      </c>
    </row>
    <row r="82" spans="1:9" ht="180" x14ac:dyDescent="0.2">
      <c r="A82" s="522">
        <v>76</v>
      </c>
      <c r="B82" s="537" t="s">
        <v>3454</v>
      </c>
      <c r="C82" s="520" t="s">
        <v>3548</v>
      </c>
      <c r="D82" s="519" t="s">
        <v>592</v>
      </c>
      <c r="E82" s="520" t="s">
        <v>3453</v>
      </c>
      <c r="F82" s="113" t="s">
        <v>124</v>
      </c>
      <c r="G82" s="113" t="s">
        <v>7</v>
      </c>
      <c r="H82" s="534">
        <v>35340.406999999999</v>
      </c>
      <c r="I82" s="534">
        <v>35340.406999999999</v>
      </c>
    </row>
    <row r="83" spans="1:9" ht="96" x14ac:dyDescent="0.2">
      <c r="A83" s="522">
        <v>77</v>
      </c>
      <c r="B83" s="537" t="s">
        <v>3446</v>
      </c>
      <c r="C83" s="520" t="s">
        <v>3455</v>
      </c>
      <c r="D83" s="519" t="s">
        <v>477</v>
      </c>
      <c r="E83" s="520" t="s">
        <v>3456</v>
      </c>
      <c r="F83" s="113" t="s">
        <v>124</v>
      </c>
      <c r="G83" s="113" t="s">
        <v>14</v>
      </c>
      <c r="H83" s="534">
        <f>(100377169)/1000*$H$3</f>
        <v>100377.16899999999</v>
      </c>
      <c r="I83" s="534">
        <f>H83-(25100604.84)/1000*$H$3</f>
        <v>75276.564159999994</v>
      </c>
    </row>
    <row r="84" spans="1:9" ht="60" x14ac:dyDescent="0.2">
      <c r="A84" s="522">
        <v>78</v>
      </c>
      <c r="B84" s="537" t="s">
        <v>3432</v>
      </c>
      <c r="C84" s="517" t="s">
        <v>3457</v>
      </c>
      <c r="D84" s="516" t="s">
        <v>1461</v>
      </c>
      <c r="E84" s="517" t="s">
        <v>1465</v>
      </c>
      <c r="F84" s="113" t="s">
        <v>124</v>
      </c>
      <c r="G84" s="113" t="s">
        <v>54</v>
      </c>
      <c r="H84" s="534">
        <f>(686086)/1000*$H$3</f>
        <v>686.08600000000001</v>
      </c>
      <c r="I84" s="534">
        <f>H84-(0)/1000*$H$3</f>
        <v>686.08600000000001</v>
      </c>
    </row>
    <row r="85" spans="1:9" ht="96" x14ac:dyDescent="0.2">
      <c r="A85" s="522">
        <v>79</v>
      </c>
      <c r="B85" s="537" t="s">
        <v>3435</v>
      </c>
      <c r="C85" s="520" t="s">
        <v>3458</v>
      </c>
      <c r="D85" s="519" t="s">
        <v>818</v>
      </c>
      <c r="E85" s="520" t="s">
        <v>3459</v>
      </c>
      <c r="F85" s="113" t="s">
        <v>54</v>
      </c>
      <c r="G85" s="113" t="s">
        <v>25</v>
      </c>
      <c r="H85" s="534">
        <f>(2765753)/1000*$H$3</f>
        <v>2765.7530000000002</v>
      </c>
      <c r="I85" s="534">
        <f>H85-(401097)/1000*$H$3</f>
        <v>2364.6559999999999</v>
      </c>
    </row>
    <row r="86" spans="1:9" ht="156" x14ac:dyDescent="0.2">
      <c r="A86" s="522">
        <v>80</v>
      </c>
      <c r="B86" s="537" t="s">
        <v>3460</v>
      </c>
      <c r="C86" s="520" t="s">
        <v>3461</v>
      </c>
      <c r="D86" s="519" t="s">
        <v>561</v>
      </c>
      <c r="E86" s="520" t="s">
        <v>3462</v>
      </c>
      <c r="F86" s="113" t="s">
        <v>54</v>
      </c>
      <c r="G86" s="113" t="s">
        <v>52</v>
      </c>
      <c r="H86" s="534">
        <f>(1555540)/1000*$H$3</f>
        <v>1555.54</v>
      </c>
      <c r="I86" s="534">
        <f>H86-(0)/1000*$H$3</f>
        <v>1555.54</v>
      </c>
    </row>
    <row r="87" spans="1:9" ht="96" x14ac:dyDescent="0.2">
      <c r="A87" s="522">
        <v>81</v>
      </c>
      <c r="B87" s="537" t="s">
        <v>3435</v>
      </c>
      <c r="C87" s="520" t="s">
        <v>3463</v>
      </c>
      <c r="D87" s="519" t="s">
        <v>820</v>
      </c>
      <c r="E87" s="520" t="s">
        <v>3464</v>
      </c>
      <c r="F87" s="113" t="s">
        <v>56</v>
      </c>
      <c r="G87" s="113" t="s">
        <v>52</v>
      </c>
      <c r="H87" s="534">
        <f>(5000000)/1000*$H$3</f>
        <v>5000</v>
      </c>
      <c r="I87" s="534">
        <f>H87-(0)/1000*$H$3</f>
        <v>5000</v>
      </c>
    </row>
    <row r="88" spans="1:9" ht="96" x14ac:dyDescent="0.2">
      <c r="A88" s="522">
        <v>82</v>
      </c>
      <c r="B88" s="537" t="s">
        <v>3307</v>
      </c>
      <c r="C88" s="517" t="s">
        <v>3465</v>
      </c>
      <c r="D88" s="519" t="s">
        <v>889</v>
      </c>
      <c r="E88" s="520" t="s">
        <v>3466</v>
      </c>
      <c r="F88" s="113" t="s">
        <v>56</v>
      </c>
      <c r="G88" s="113" t="s">
        <v>7</v>
      </c>
      <c r="H88" s="534">
        <f>(1896068)/1000*$H$3</f>
        <v>1896.068</v>
      </c>
      <c r="I88" s="534">
        <f>H88-(510000)/1000*$H$3</f>
        <v>1386.068</v>
      </c>
    </row>
    <row r="89" spans="1:9" ht="96" x14ac:dyDescent="0.2">
      <c r="A89" s="522">
        <v>83</v>
      </c>
      <c r="B89" s="537" t="s">
        <v>3305</v>
      </c>
      <c r="C89" s="520" t="s">
        <v>3467</v>
      </c>
      <c r="D89" s="519" t="s">
        <v>962</v>
      </c>
      <c r="E89" s="520" t="s">
        <v>1134</v>
      </c>
      <c r="F89" s="113" t="s">
        <v>56</v>
      </c>
      <c r="G89" s="113" t="s">
        <v>129</v>
      </c>
      <c r="H89" s="534">
        <f>(300000)/1000*$H$3</f>
        <v>300</v>
      </c>
      <c r="I89" s="534">
        <f>H89-(0)/1000*$H$3</f>
        <v>300</v>
      </c>
    </row>
    <row r="90" spans="1:9" ht="96" x14ac:dyDescent="0.2">
      <c r="A90" s="522">
        <v>84</v>
      </c>
      <c r="B90" s="537" t="s">
        <v>3418</v>
      </c>
      <c r="C90" s="520" t="s">
        <v>3467</v>
      </c>
      <c r="D90" s="519" t="s">
        <v>963</v>
      </c>
      <c r="E90" s="520" t="s">
        <v>3468</v>
      </c>
      <c r="F90" s="113" t="s">
        <v>56</v>
      </c>
      <c r="G90" s="113" t="s">
        <v>52</v>
      </c>
      <c r="H90" s="534">
        <f>(780000)/1000*$H$3</f>
        <v>780</v>
      </c>
      <c r="I90" s="534">
        <f>H90-(0)/1000*$H$3</f>
        <v>780</v>
      </c>
    </row>
    <row r="91" spans="1:9" ht="96" x14ac:dyDescent="0.2">
      <c r="A91" s="522">
        <v>85</v>
      </c>
      <c r="B91" s="537" t="s">
        <v>3469</v>
      </c>
      <c r="C91" s="520" t="s">
        <v>3470</v>
      </c>
      <c r="D91" s="519" t="s">
        <v>575</v>
      </c>
      <c r="E91" s="520" t="s">
        <v>1327</v>
      </c>
      <c r="F91" s="113" t="s">
        <v>52</v>
      </c>
      <c r="G91" s="113" t="s">
        <v>63</v>
      </c>
      <c r="H91" s="534">
        <f>(201397276)/1000*$H$3</f>
        <v>201397.27600000001</v>
      </c>
      <c r="I91" s="534">
        <f>H91-(2563200+6523166+2974576+382255)/1000*$H$3</f>
        <v>188954.07900000003</v>
      </c>
    </row>
    <row r="92" spans="1:9" ht="120" x14ac:dyDescent="0.2">
      <c r="A92" s="522">
        <v>86</v>
      </c>
      <c r="B92" s="537" t="s">
        <v>3471</v>
      </c>
      <c r="C92" s="520" t="s">
        <v>3472</v>
      </c>
      <c r="D92" s="519" t="s">
        <v>429</v>
      </c>
      <c r="E92" s="520" t="s">
        <v>3473</v>
      </c>
      <c r="F92" s="113" t="s">
        <v>427</v>
      </c>
      <c r="G92" s="113" t="s">
        <v>5</v>
      </c>
      <c r="H92" s="534">
        <f>(550000)/1000*$H$3</f>
        <v>550</v>
      </c>
      <c r="I92" s="534">
        <f>H92-(0)/1000*$H$3</f>
        <v>550</v>
      </c>
    </row>
    <row r="93" spans="1:9" ht="108" x14ac:dyDescent="0.2">
      <c r="A93" s="522">
        <v>87</v>
      </c>
      <c r="B93" s="537" t="s">
        <v>3460</v>
      </c>
      <c r="C93" s="520" t="s">
        <v>3474</v>
      </c>
      <c r="D93" s="519" t="s">
        <v>566</v>
      </c>
      <c r="E93" s="520" t="s">
        <v>4177</v>
      </c>
      <c r="F93" s="113" t="s">
        <v>427</v>
      </c>
      <c r="G93" s="113" t="s">
        <v>7</v>
      </c>
      <c r="H93" s="534">
        <f>(3700000)/1000*$H$3</f>
        <v>3700</v>
      </c>
      <c r="I93" s="534">
        <f>H93-(1300000)/1000*$H$3</f>
        <v>2400</v>
      </c>
    </row>
    <row r="94" spans="1:9" ht="72" x14ac:dyDescent="0.2">
      <c r="A94" s="522">
        <v>88</v>
      </c>
      <c r="B94" s="537" t="s">
        <v>3446</v>
      </c>
      <c r="C94" s="520" t="s">
        <v>3475</v>
      </c>
      <c r="D94" s="519" t="s">
        <v>483</v>
      </c>
      <c r="E94" s="520" t="s">
        <v>3328</v>
      </c>
      <c r="F94" s="113" t="s">
        <v>427</v>
      </c>
      <c r="G94" s="113" t="s">
        <v>84</v>
      </c>
      <c r="H94" s="534">
        <f>(24378308.18)/1000*$H$3</f>
        <v>24378.30818</v>
      </c>
      <c r="I94" s="534">
        <f>H94-(3669923.61)/1000*$H$3</f>
        <v>20708.384570000002</v>
      </c>
    </row>
    <row r="95" spans="1:9" ht="72" x14ac:dyDescent="0.2">
      <c r="A95" s="522">
        <v>89</v>
      </c>
      <c r="B95" s="537" t="s">
        <v>3446</v>
      </c>
      <c r="C95" s="520" t="s">
        <v>3475</v>
      </c>
      <c r="D95" s="519" t="s">
        <v>486</v>
      </c>
      <c r="E95" s="520" t="s">
        <v>4178</v>
      </c>
      <c r="F95" s="113" t="s">
        <v>427</v>
      </c>
      <c r="G95" s="518" t="s">
        <v>230</v>
      </c>
      <c r="H95" s="534">
        <f>(18119912)/1000*$H$3</f>
        <v>18119.912</v>
      </c>
      <c r="I95" s="534">
        <f>H95-(0)/1000*$H$3</f>
        <v>18119.912</v>
      </c>
    </row>
    <row r="96" spans="1:9" ht="72" x14ac:dyDescent="0.2">
      <c r="A96" s="522">
        <v>90</v>
      </c>
      <c r="B96" s="537" t="s">
        <v>3446</v>
      </c>
      <c r="C96" s="520" t="s">
        <v>3475</v>
      </c>
      <c r="D96" s="519" t="s">
        <v>490</v>
      </c>
      <c r="E96" s="520" t="s">
        <v>3329</v>
      </c>
      <c r="F96" s="113" t="s">
        <v>427</v>
      </c>
      <c r="G96" s="113" t="s">
        <v>488</v>
      </c>
      <c r="H96" s="534">
        <f>(50693441.39)/1000*$H$3</f>
        <v>50693.44139</v>
      </c>
      <c r="I96" s="534">
        <f>H96-(7118161)/1000*$H$3</f>
        <v>43575.28039</v>
      </c>
    </row>
    <row r="97" spans="1:9" ht="108" x14ac:dyDescent="0.2">
      <c r="A97" s="522">
        <v>91</v>
      </c>
      <c r="B97" s="537" t="s">
        <v>3316</v>
      </c>
      <c r="C97" s="520" t="s">
        <v>3476</v>
      </c>
      <c r="D97" s="519" t="s">
        <v>918</v>
      </c>
      <c r="E97" s="520" t="s">
        <v>3477</v>
      </c>
      <c r="F97" s="113" t="s">
        <v>25</v>
      </c>
      <c r="G97" s="518" t="s">
        <v>86</v>
      </c>
      <c r="H97" s="534">
        <f>(5990000)/1000*$H$3</f>
        <v>5990</v>
      </c>
      <c r="I97" s="534">
        <f>H97-(2790000)/1000*$H$3</f>
        <v>3200</v>
      </c>
    </row>
    <row r="98" spans="1:9" ht="96" x14ac:dyDescent="0.2">
      <c r="A98" s="522">
        <v>92</v>
      </c>
      <c r="B98" s="537" t="s">
        <v>3307</v>
      </c>
      <c r="C98" s="517" t="s">
        <v>3478</v>
      </c>
      <c r="D98" s="519" t="s">
        <v>894</v>
      </c>
      <c r="E98" s="521" t="s">
        <v>3479</v>
      </c>
      <c r="F98" s="113" t="s">
        <v>132</v>
      </c>
      <c r="G98" s="113" t="s">
        <v>14</v>
      </c>
      <c r="H98" s="534">
        <f>(1420000)/1000*$H$3</f>
        <v>1420</v>
      </c>
      <c r="I98" s="534">
        <f>H98-(0)/1000*$H$3</f>
        <v>1420</v>
      </c>
    </row>
    <row r="99" spans="1:9" ht="96" x14ac:dyDescent="0.2">
      <c r="A99" s="522">
        <v>93</v>
      </c>
      <c r="B99" s="537" t="s">
        <v>3305</v>
      </c>
      <c r="C99" s="520" t="s">
        <v>3480</v>
      </c>
      <c r="D99" s="519" t="s">
        <v>964</v>
      </c>
      <c r="E99" s="520" t="s">
        <v>276</v>
      </c>
      <c r="F99" s="113" t="s">
        <v>132</v>
      </c>
      <c r="G99" s="113" t="s">
        <v>7</v>
      </c>
      <c r="H99" s="534">
        <f>(2285000)/1000*$H$3</f>
        <v>2285</v>
      </c>
      <c r="I99" s="534">
        <f>H99-(0)/1000*$H$3</f>
        <v>2285</v>
      </c>
    </row>
    <row r="100" spans="1:9" ht="96" x14ac:dyDescent="0.2">
      <c r="A100" s="522">
        <v>94</v>
      </c>
      <c r="B100" s="537" t="s">
        <v>3481</v>
      </c>
      <c r="C100" s="517" t="s">
        <v>3482</v>
      </c>
      <c r="D100" s="516" t="s">
        <v>981</v>
      </c>
      <c r="E100" s="520" t="s">
        <v>3483</v>
      </c>
      <c r="F100" s="113" t="s">
        <v>132</v>
      </c>
      <c r="G100" s="113" t="s">
        <v>60</v>
      </c>
      <c r="H100" s="534">
        <f>(13558188)/1000*$H$3</f>
        <v>13558.188</v>
      </c>
      <c r="I100" s="534">
        <f>H100-(469389+1258717+530611+1765439)/1000*$H$3</f>
        <v>9534.0319999999992</v>
      </c>
    </row>
    <row r="101" spans="1:9" ht="132" x14ac:dyDescent="0.2">
      <c r="A101" s="522">
        <v>95</v>
      </c>
      <c r="B101" s="537" t="s">
        <v>3484</v>
      </c>
      <c r="C101" s="520" t="s">
        <v>3485</v>
      </c>
      <c r="D101" s="519" t="s">
        <v>1219</v>
      </c>
      <c r="E101" s="520" t="s">
        <v>3486</v>
      </c>
      <c r="F101" s="113" t="s">
        <v>132</v>
      </c>
      <c r="G101" s="113" t="s">
        <v>5</v>
      </c>
      <c r="H101" s="534">
        <f>(1730000)/1000*$H$3</f>
        <v>1730</v>
      </c>
      <c r="I101" s="534">
        <f>H101-(422391)/1000*$H$3</f>
        <v>1307.6089999999999</v>
      </c>
    </row>
    <row r="102" spans="1:9" ht="96" x14ac:dyDescent="0.2">
      <c r="A102" s="522">
        <v>96</v>
      </c>
      <c r="B102" s="537" t="s">
        <v>3487</v>
      </c>
      <c r="C102" s="520" t="s">
        <v>3488</v>
      </c>
      <c r="D102" s="519" t="s">
        <v>1352</v>
      </c>
      <c r="E102" s="520" t="s">
        <v>1349</v>
      </c>
      <c r="F102" s="113" t="s">
        <v>132</v>
      </c>
      <c r="G102" s="113" t="s">
        <v>16</v>
      </c>
      <c r="H102" s="534">
        <f>(1609757)/1000*$H$3</f>
        <v>1609.7570000000001</v>
      </c>
      <c r="I102" s="534">
        <f>H102-(0)/1000*$H$3</f>
        <v>1609.7570000000001</v>
      </c>
    </row>
    <row r="103" spans="1:9" ht="84" x14ac:dyDescent="0.2">
      <c r="A103" s="522">
        <v>97</v>
      </c>
      <c r="B103" s="537" t="s">
        <v>3489</v>
      </c>
      <c r="C103" s="520" t="s">
        <v>3490</v>
      </c>
      <c r="D103" s="519" t="s">
        <v>503</v>
      </c>
      <c r="E103" s="520" t="s">
        <v>3330</v>
      </c>
      <c r="F103" s="113" t="s">
        <v>132</v>
      </c>
      <c r="G103" s="518" t="s">
        <v>9</v>
      </c>
      <c r="H103" s="534">
        <f>(12401096)/1000*$H$3</f>
        <v>12401.096</v>
      </c>
      <c r="I103" s="534">
        <f>H103-(0)/1000*$H$3</f>
        <v>12401.096</v>
      </c>
    </row>
    <row r="104" spans="1:9" ht="132" x14ac:dyDescent="0.2">
      <c r="A104" s="522">
        <v>98</v>
      </c>
      <c r="B104" s="537" t="s">
        <v>3491</v>
      </c>
      <c r="C104" s="520" t="s">
        <v>3492</v>
      </c>
      <c r="D104" s="519" t="s">
        <v>1218</v>
      </c>
      <c r="E104" s="520" t="s">
        <v>1277</v>
      </c>
      <c r="F104" s="113" t="s">
        <v>488</v>
      </c>
      <c r="G104" s="113" t="s">
        <v>60</v>
      </c>
      <c r="H104" s="534">
        <f>(1570000)/1000*$H$3</f>
        <v>1570</v>
      </c>
      <c r="I104" s="534">
        <f>H104-(0)/1000*$H$3</f>
        <v>1570</v>
      </c>
    </row>
    <row r="105" spans="1:9" ht="169.5" customHeight="1" x14ac:dyDescent="0.2">
      <c r="A105" s="522">
        <v>99</v>
      </c>
      <c r="B105" s="537" t="s">
        <v>3493</v>
      </c>
      <c r="C105" s="520" t="s">
        <v>3494</v>
      </c>
      <c r="D105" s="519" t="s">
        <v>580</v>
      </c>
      <c r="E105" s="520" t="s">
        <v>3495</v>
      </c>
      <c r="F105" s="113" t="s">
        <v>488</v>
      </c>
      <c r="G105" s="113" t="s">
        <v>7</v>
      </c>
      <c r="H105" s="534">
        <f>(2281959)/1000*$H$3</f>
        <v>2281.9589999999998</v>
      </c>
      <c r="I105" s="534">
        <f>H105-(0)/1000*$H$3</f>
        <v>2281.9589999999998</v>
      </c>
    </row>
    <row r="106" spans="1:9" ht="96" x14ac:dyDescent="0.2">
      <c r="A106" s="522">
        <v>100</v>
      </c>
      <c r="B106" s="537" t="s">
        <v>3496</v>
      </c>
      <c r="C106" s="520" t="s">
        <v>3497</v>
      </c>
      <c r="D106" s="519" t="s">
        <v>577</v>
      </c>
      <c r="E106" s="520" t="s">
        <v>1330</v>
      </c>
      <c r="F106" s="113" t="s">
        <v>488</v>
      </c>
      <c r="G106" s="113" t="s">
        <v>19</v>
      </c>
      <c r="H106" s="534">
        <f>(17803061)/1000*$H$3</f>
        <v>17803.061000000002</v>
      </c>
      <c r="I106" s="534">
        <f>H106-(0)/1000*$H$3</f>
        <v>17803.061000000002</v>
      </c>
    </row>
    <row r="107" spans="1:9" ht="84" x14ac:dyDescent="0.2">
      <c r="A107" s="522">
        <v>101</v>
      </c>
      <c r="B107" s="537" t="s">
        <v>3337</v>
      </c>
      <c r="C107" s="520" t="s">
        <v>3498</v>
      </c>
      <c r="D107" s="519" t="s">
        <v>496</v>
      </c>
      <c r="E107" s="520" t="s">
        <v>4179</v>
      </c>
      <c r="F107" s="113" t="s">
        <v>488</v>
      </c>
      <c r="G107" s="518" t="s">
        <v>230</v>
      </c>
      <c r="H107" s="534">
        <f>(4308132)/1000*$H$3</f>
        <v>4308.1319999999996</v>
      </c>
      <c r="I107" s="534">
        <f>H107-(1306408)/1000*$H$3</f>
        <v>3001.7239999999997</v>
      </c>
    </row>
    <row r="108" spans="1:9" ht="96" x14ac:dyDescent="0.2">
      <c r="A108" s="522">
        <v>102</v>
      </c>
      <c r="B108" s="537" t="s">
        <v>3499</v>
      </c>
      <c r="C108" s="520" t="s">
        <v>3500</v>
      </c>
      <c r="D108" s="519" t="s">
        <v>822</v>
      </c>
      <c r="E108" s="520" t="s">
        <v>3501</v>
      </c>
      <c r="F108" s="113" t="s">
        <v>4</v>
      </c>
      <c r="G108" s="113" t="s">
        <v>7</v>
      </c>
      <c r="H108" s="534">
        <f>(5947000)/1000*$H$3</f>
        <v>5947</v>
      </c>
      <c r="I108" s="534">
        <f>H108-(322033.9)/1000*$H$3</f>
        <v>5624.9660999999996</v>
      </c>
    </row>
    <row r="109" spans="1:9" ht="96" x14ac:dyDescent="0.2">
      <c r="A109" s="522">
        <v>103</v>
      </c>
      <c r="B109" s="537" t="s">
        <v>3307</v>
      </c>
      <c r="C109" s="517" t="s">
        <v>3502</v>
      </c>
      <c r="D109" s="519" t="s">
        <v>897</v>
      </c>
      <c r="E109" s="520" t="s">
        <v>1072</v>
      </c>
      <c r="F109" s="113" t="s">
        <v>4</v>
      </c>
      <c r="G109" s="113" t="s">
        <v>86</v>
      </c>
      <c r="H109" s="534">
        <f>(5583000)/1000*$H$3</f>
        <v>5583</v>
      </c>
      <c r="I109" s="534">
        <f>H109-(901966)/1000*$H$3</f>
        <v>4681.0339999999997</v>
      </c>
    </row>
    <row r="110" spans="1:9" ht="96" x14ac:dyDescent="0.2">
      <c r="A110" s="522">
        <v>104</v>
      </c>
      <c r="B110" s="537" t="s">
        <v>3307</v>
      </c>
      <c r="C110" s="517" t="s">
        <v>3503</v>
      </c>
      <c r="D110" s="519" t="s">
        <v>896</v>
      </c>
      <c r="E110" s="520" t="s">
        <v>3504</v>
      </c>
      <c r="F110" s="113" t="s">
        <v>4</v>
      </c>
      <c r="G110" s="518" t="s">
        <v>649</v>
      </c>
      <c r="H110" s="534">
        <f>(42143938)/1000*$H$3</f>
        <v>42143.938000000002</v>
      </c>
      <c r="I110" s="534">
        <f>H110-(27790161.6)/1000*$H$3</f>
        <v>14353.776399999999</v>
      </c>
    </row>
    <row r="111" spans="1:9" ht="96" x14ac:dyDescent="0.2">
      <c r="A111" s="522">
        <v>105</v>
      </c>
      <c r="B111" s="537" t="s">
        <v>3418</v>
      </c>
      <c r="C111" s="520" t="s">
        <v>3505</v>
      </c>
      <c r="D111" s="519" t="s">
        <v>965</v>
      </c>
      <c r="E111" s="520" t="s">
        <v>1142</v>
      </c>
      <c r="F111" s="113" t="s">
        <v>4</v>
      </c>
      <c r="G111" s="113" t="s">
        <v>14</v>
      </c>
      <c r="H111" s="534">
        <f>(7400000)/1000*$H$3</f>
        <v>7400</v>
      </c>
      <c r="I111" s="534">
        <f>H111-(3960545+263553)/1000*$H$3</f>
        <v>3175.902</v>
      </c>
    </row>
    <row r="112" spans="1:9" ht="216" x14ac:dyDescent="0.2">
      <c r="A112" s="522">
        <v>106</v>
      </c>
      <c r="B112" s="537" t="s">
        <v>3481</v>
      </c>
      <c r="C112" s="521" t="s">
        <v>3506</v>
      </c>
      <c r="D112" s="515" t="s">
        <v>1166</v>
      </c>
      <c r="E112" s="521" t="s">
        <v>3507</v>
      </c>
      <c r="F112" s="113" t="s">
        <v>4</v>
      </c>
      <c r="G112" s="113" t="s">
        <v>5</v>
      </c>
      <c r="H112" s="534">
        <f>(700000)/1000*$H$3</f>
        <v>700</v>
      </c>
      <c r="I112" s="534">
        <f t="shared" ref="I112:I121" si="2">H112-(0)/1000*$H$3</f>
        <v>700</v>
      </c>
    </row>
    <row r="113" spans="1:9" ht="216" x14ac:dyDescent="0.2">
      <c r="A113" s="522">
        <v>107</v>
      </c>
      <c r="B113" s="537" t="s">
        <v>3481</v>
      </c>
      <c r="C113" s="521" t="s">
        <v>3549</v>
      </c>
      <c r="D113" s="515" t="s">
        <v>1171</v>
      </c>
      <c r="E113" s="521" t="s">
        <v>3508</v>
      </c>
      <c r="F113" s="113" t="s">
        <v>4</v>
      </c>
      <c r="G113" s="113" t="s">
        <v>5</v>
      </c>
      <c r="H113" s="534">
        <f>(10567316)/1000*$H$3</f>
        <v>10567.316000000001</v>
      </c>
      <c r="I113" s="534">
        <f t="shared" si="2"/>
        <v>10567.316000000001</v>
      </c>
    </row>
    <row r="114" spans="1:9" ht="216" x14ac:dyDescent="0.2">
      <c r="A114" s="522">
        <v>108</v>
      </c>
      <c r="B114" s="537" t="s">
        <v>3481</v>
      </c>
      <c r="C114" s="521" t="s">
        <v>3509</v>
      </c>
      <c r="D114" s="515" t="s">
        <v>1172</v>
      </c>
      <c r="E114" s="521" t="s">
        <v>3510</v>
      </c>
      <c r="F114" s="113" t="s">
        <v>4</v>
      </c>
      <c r="G114" s="113" t="s">
        <v>84</v>
      </c>
      <c r="H114" s="534">
        <f>(8421143)/1000*$H$3</f>
        <v>8421.143</v>
      </c>
      <c r="I114" s="534">
        <f t="shared" si="2"/>
        <v>8421.143</v>
      </c>
    </row>
    <row r="115" spans="1:9" ht="216" x14ac:dyDescent="0.2">
      <c r="A115" s="522">
        <v>109</v>
      </c>
      <c r="B115" s="537" t="s">
        <v>3511</v>
      </c>
      <c r="C115" s="521" t="s">
        <v>3512</v>
      </c>
      <c r="D115" s="515" t="s">
        <v>1174</v>
      </c>
      <c r="E115" s="521" t="s">
        <v>3513</v>
      </c>
      <c r="F115" s="113" t="s">
        <v>4</v>
      </c>
      <c r="G115" s="113" t="s">
        <v>84</v>
      </c>
      <c r="H115" s="534">
        <f>(7072314)/1000*$H$3</f>
        <v>7072.3140000000003</v>
      </c>
      <c r="I115" s="534">
        <f t="shared" si="2"/>
        <v>7072.3140000000003</v>
      </c>
    </row>
    <row r="116" spans="1:9" ht="132" x14ac:dyDescent="0.2">
      <c r="A116" s="522">
        <v>110</v>
      </c>
      <c r="B116" s="539" t="s">
        <v>3514</v>
      </c>
      <c r="C116" s="520" t="s">
        <v>3515</v>
      </c>
      <c r="D116" s="519" t="s">
        <v>1208</v>
      </c>
      <c r="E116" s="520" t="s">
        <v>3336</v>
      </c>
      <c r="F116" s="113" t="s">
        <v>4</v>
      </c>
      <c r="G116" s="113" t="s">
        <v>9</v>
      </c>
      <c r="H116" s="534">
        <f>(19600000)/1000*$H$3</f>
        <v>19600</v>
      </c>
      <c r="I116" s="534">
        <f t="shared" si="2"/>
        <v>19600</v>
      </c>
    </row>
    <row r="117" spans="1:9" ht="168" x14ac:dyDescent="0.2">
      <c r="A117" s="522">
        <v>111</v>
      </c>
      <c r="B117" s="537" t="s">
        <v>3516</v>
      </c>
      <c r="C117" s="520" t="s">
        <v>3517</v>
      </c>
      <c r="D117" s="519" t="s">
        <v>581</v>
      </c>
      <c r="E117" s="520" t="s">
        <v>3518</v>
      </c>
      <c r="F117" s="113" t="s">
        <v>4</v>
      </c>
      <c r="G117" s="113" t="s">
        <v>24</v>
      </c>
      <c r="H117" s="534">
        <f>(37438795+4559067)/1000*$H$3</f>
        <v>41997.862000000001</v>
      </c>
      <c r="I117" s="534">
        <f t="shared" si="2"/>
        <v>41997.862000000001</v>
      </c>
    </row>
    <row r="118" spans="1:9" ht="96" x14ac:dyDescent="0.2">
      <c r="A118" s="522">
        <v>112</v>
      </c>
      <c r="B118" s="537" t="s">
        <v>3337</v>
      </c>
      <c r="C118" s="520" t="s">
        <v>3519</v>
      </c>
      <c r="D118" s="519" t="s">
        <v>480</v>
      </c>
      <c r="E118" s="520" t="s">
        <v>3520</v>
      </c>
      <c r="F118" s="113" t="s">
        <v>4</v>
      </c>
      <c r="G118" s="113" t="s">
        <v>24</v>
      </c>
      <c r="H118" s="534">
        <f>(22587631)/1000*$H$3</f>
        <v>22587.631000000001</v>
      </c>
      <c r="I118" s="534">
        <f t="shared" si="2"/>
        <v>22587.631000000001</v>
      </c>
    </row>
    <row r="119" spans="1:9" ht="60" x14ac:dyDescent="0.2">
      <c r="A119" s="522">
        <v>113</v>
      </c>
      <c r="B119" s="537" t="s">
        <v>3432</v>
      </c>
      <c r="C119" s="517" t="s">
        <v>3521</v>
      </c>
      <c r="D119" s="516" t="s">
        <v>620</v>
      </c>
      <c r="E119" s="517" t="s">
        <v>3522</v>
      </c>
      <c r="F119" s="113" t="s">
        <v>4</v>
      </c>
      <c r="G119" s="113" t="s">
        <v>5</v>
      </c>
      <c r="H119" s="534">
        <f>(740000+867118)/1000*$H$3</f>
        <v>1607.1179999999999</v>
      </c>
      <c r="I119" s="534">
        <f t="shared" si="2"/>
        <v>1607.1179999999999</v>
      </c>
    </row>
    <row r="120" spans="1:9" ht="60" x14ac:dyDescent="0.2">
      <c r="A120" s="522">
        <v>114</v>
      </c>
      <c r="B120" s="537" t="s">
        <v>3302</v>
      </c>
      <c r="C120" s="520" t="s">
        <v>3523</v>
      </c>
      <c r="D120" s="519" t="s">
        <v>930</v>
      </c>
      <c r="E120" s="521" t="s">
        <v>3524</v>
      </c>
      <c r="F120" s="113" t="s">
        <v>35</v>
      </c>
      <c r="G120" s="113" t="s">
        <v>230</v>
      </c>
      <c r="H120" s="534">
        <f>(11102044)/1000*$H$3</f>
        <v>11102.044</v>
      </c>
      <c r="I120" s="534">
        <f t="shared" si="2"/>
        <v>11102.044</v>
      </c>
    </row>
    <row r="121" spans="1:9" ht="216" x14ac:dyDescent="0.2">
      <c r="A121" s="522">
        <v>115</v>
      </c>
      <c r="B121" s="537" t="s">
        <v>3525</v>
      </c>
      <c r="C121" s="521" t="s">
        <v>3526</v>
      </c>
      <c r="D121" s="515" t="s">
        <v>1177</v>
      </c>
      <c r="E121" s="521" t="s">
        <v>3527</v>
      </c>
      <c r="F121" s="113" t="s">
        <v>35</v>
      </c>
      <c r="G121" s="113" t="s">
        <v>5</v>
      </c>
      <c r="H121" s="534">
        <f>(6014061)/1000*$H$3</f>
        <v>6014.0609999999997</v>
      </c>
      <c r="I121" s="534">
        <f t="shared" si="2"/>
        <v>6014.0609999999997</v>
      </c>
    </row>
    <row r="122" spans="1:9" ht="132" x14ac:dyDescent="0.2">
      <c r="A122" s="522">
        <v>116</v>
      </c>
      <c r="B122" s="537" t="s">
        <v>3334</v>
      </c>
      <c r="C122" s="520" t="s">
        <v>3528</v>
      </c>
      <c r="D122" s="519" t="s">
        <v>1198</v>
      </c>
      <c r="E122" s="520" t="s">
        <v>3333</v>
      </c>
      <c r="F122" s="113" t="s">
        <v>35</v>
      </c>
      <c r="G122" s="113" t="s">
        <v>11</v>
      </c>
      <c r="H122" s="534">
        <f>(35800000)/1000*$H$3</f>
        <v>35800</v>
      </c>
      <c r="I122" s="534">
        <f>H122-(1161147+807520+1980019)/1000*$H$3</f>
        <v>31851.313999999998</v>
      </c>
    </row>
    <row r="123" spans="1:9" ht="108" x14ac:dyDescent="0.2">
      <c r="A123" s="522">
        <v>117</v>
      </c>
      <c r="B123" s="537" t="s">
        <v>3529</v>
      </c>
      <c r="C123" s="520" t="s">
        <v>3530</v>
      </c>
      <c r="D123" s="519" t="s">
        <v>588</v>
      </c>
      <c r="E123" s="520" t="s">
        <v>3531</v>
      </c>
      <c r="F123" s="113" t="s">
        <v>35</v>
      </c>
      <c r="G123" s="113" t="s">
        <v>230</v>
      </c>
      <c r="H123" s="534">
        <f>(3829000-217990)/1000*$H$3</f>
        <v>3611.01</v>
      </c>
      <c r="I123" s="534">
        <f>H123-(262712)/1000*$H$3</f>
        <v>3348.2980000000002</v>
      </c>
    </row>
    <row r="124" spans="1:9" ht="168" x14ac:dyDescent="0.2">
      <c r="A124" s="522">
        <v>118</v>
      </c>
      <c r="B124" s="537" t="s">
        <v>3435</v>
      </c>
      <c r="C124" s="520" t="s">
        <v>3532</v>
      </c>
      <c r="D124" s="519" t="s">
        <v>855</v>
      </c>
      <c r="E124" s="520" t="s">
        <v>1052</v>
      </c>
      <c r="F124" s="113" t="s">
        <v>84</v>
      </c>
      <c r="G124" s="113" t="s">
        <v>7</v>
      </c>
      <c r="H124" s="534">
        <f>(15724959.7)/1000*$H$3</f>
        <v>15724.959699999999</v>
      </c>
      <c r="I124" s="534">
        <f>H124-(0)/1000*$H$3</f>
        <v>15724.959699999999</v>
      </c>
    </row>
    <row r="125" spans="1:9" ht="120" x14ac:dyDescent="0.2">
      <c r="A125" s="522">
        <v>119</v>
      </c>
      <c r="B125" s="537" t="s">
        <v>3533</v>
      </c>
      <c r="C125" s="520" t="s">
        <v>3534</v>
      </c>
      <c r="D125" s="519" t="s">
        <v>995</v>
      </c>
      <c r="E125" s="520" t="s">
        <v>3535</v>
      </c>
      <c r="F125" s="113" t="s">
        <v>84</v>
      </c>
      <c r="G125" s="113" t="s">
        <v>7</v>
      </c>
      <c r="H125" s="534">
        <f>(13244584)/1000*$H$3</f>
        <v>13244.584000000001</v>
      </c>
      <c r="I125" s="534">
        <f>H125-(3944931+1927740)/1000*$H$3</f>
        <v>7371.9130000000005</v>
      </c>
    </row>
    <row r="126" spans="1:9" ht="108" x14ac:dyDescent="0.2">
      <c r="A126" s="522">
        <v>120</v>
      </c>
      <c r="B126" s="537" t="s">
        <v>3536</v>
      </c>
      <c r="C126" s="520" t="s">
        <v>3537</v>
      </c>
      <c r="D126" s="519" t="s">
        <v>1254</v>
      </c>
      <c r="E126" s="520" t="s">
        <v>3538</v>
      </c>
      <c r="F126" s="113" t="s">
        <v>84</v>
      </c>
      <c r="G126" s="113" t="s">
        <v>84</v>
      </c>
      <c r="H126" s="534">
        <f>(500000)/1000*$H$3</f>
        <v>500</v>
      </c>
      <c r="I126" s="534">
        <f>H126-(0)/1000*$H$3</f>
        <v>500</v>
      </c>
    </row>
    <row r="127" spans="1:9" ht="96" x14ac:dyDescent="0.2">
      <c r="A127" s="522">
        <v>121</v>
      </c>
      <c r="B127" s="537" t="s">
        <v>3307</v>
      </c>
      <c r="C127" s="517" t="s">
        <v>3539</v>
      </c>
      <c r="D127" s="519" t="s">
        <v>898</v>
      </c>
      <c r="E127" s="520" t="s">
        <v>3540</v>
      </c>
      <c r="F127" s="113" t="s">
        <v>14</v>
      </c>
      <c r="G127" s="113" t="s">
        <v>7</v>
      </c>
      <c r="H127" s="534">
        <f>(7800000)/1000*$H$3</f>
        <v>7800</v>
      </c>
      <c r="I127" s="534">
        <f>H127-(886884)/1000*$H$3</f>
        <v>6913.116</v>
      </c>
    </row>
    <row r="128" spans="1:9" ht="132" x14ac:dyDescent="0.2">
      <c r="A128" s="522">
        <v>122</v>
      </c>
      <c r="B128" s="537" t="s">
        <v>3541</v>
      </c>
      <c r="C128" s="520" t="s">
        <v>3542</v>
      </c>
      <c r="D128" s="519" t="s">
        <v>1230</v>
      </c>
      <c r="E128" s="520" t="s">
        <v>3543</v>
      </c>
      <c r="F128" s="113" t="s">
        <v>14</v>
      </c>
      <c r="G128" s="113" t="s">
        <v>7</v>
      </c>
      <c r="H128" s="534">
        <f>(990000)/1000*$H$3</f>
        <v>990</v>
      </c>
      <c r="I128" s="534">
        <f>H128-(0)/1000*$H$3</f>
        <v>990</v>
      </c>
    </row>
    <row r="129" spans="1:9" ht="120" x14ac:dyDescent="0.2">
      <c r="A129" s="522">
        <v>123</v>
      </c>
      <c r="B129" s="539" t="s">
        <v>3544</v>
      </c>
      <c r="C129" s="520" t="s">
        <v>3545</v>
      </c>
      <c r="D129" s="519" t="s">
        <v>994</v>
      </c>
      <c r="E129" s="520" t="s">
        <v>3546</v>
      </c>
      <c r="F129" s="113" t="s">
        <v>14</v>
      </c>
      <c r="G129" s="113" t="s">
        <v>11</v>
      </c>
      <c r="H129" s="534">
        <f>(390000000)/1000*$H$3</f>
        <v>390000</v>
      </c>
      <c r="I129" s="534">
        <f>H129-(10473000+2569000+38773249+1655506+4134020+386559+17036387+15325570+15342207+3454876+1477757+74199+980000)/1000*$H$3</f>
        <v>278317.67</v>
      </c>
    </row>
    <row r="130" spans="1:9" ht="204" x14ac:dyDescent="0.2">
      <c r="A130" s="522">
        <v>124</v>
      </c>
      <c r="B130" s="537" t="s">
        <v>3547</v>
      </c>
      <c r="C130" s="520" t="s">
        <v>3550</v>
      </c>
      <c r="D130" s="519" t="s">
        <v>587</v>
      </c>
      <c r="E130" s="520" t="s">
        <v>3551</v>
      </c>
      <c r="F130" s="113" t="s">
        <v>14</v>
      </c>
      <c r="G130" s="113" t="s">
        <v>586</v>
      </c>
      <c r="H130" s="534">
        <f>(119096424)/1000*$H$3</f>
        <v>119096.424</v>
      </c>
      <c r="I130" s="534">
        <f>H130-(4720342+9389674+2380253+20611493+1300885+1430964+661059)/1000*$H$3</f>
        <v>78601.754000000001</v>
      </c>
    </row>
    <row r="131" spans="1:9" ht="120" x14ac:dyDescent="0.2">
      <c r="A131" s="522">
        <v>125</v>
      </c>
      <c r="B131" s="537" t="s">
        <v>3552</v>
      </c>
      <c r="C131" s="520" t="s">
        <v>3553</v>
      </c>
      <c r="D131" s="519"/>
      <c r="E131" s="520" t="s">
        <v>1303</v>
      </c>
      <c r="F131" s="113" t="s">
        <v>14</v>
      </c>
      <c r="G131" s="113" t="s">
        <v>91</v>
      </c>
      <c r="H131" s="534">
        <f>(2201287+41913)/1000*$H$3</f>
        <v>2243.1999999999998</v>
      </c>
      <c r="I131" s="534">
        <f t="shared" ref="I131:I143" si="3">H131-(0)/1000*$H$3</f>
        <v>2243.1999999999998</v>
      </c>
    </row>
    <row r="132" spans="1:9" ht="96" x14ac:dyDescent="0.2">
      <c r="A132" s="522">
        <v>126</v>
      </c>
      <c r="B132" s="537" t="s">
        <v>3302</v>
      </c>
      <c r="C132" s="520" t="s">
        <v>3555</v>
      </c>
      <c r="D132" s="519" t="s">
        <v>952</v>
      </c>
      <c r="E132" s="520" t="s">
        <v>3554</v>
      </c>
      <c r="F132" s="113" t="s">
        <v>5</v>
      </c>
      <c r="G132" s="113" t="s">
        <v>7</v>
      </c>
      <c r="H132" s="534">
        <f>(3599389.4/1.18)/1000*$H$3</f>
        <v>3050.33</v>
      </c>
      <c r="I132" s="534">
        <f t="shared" si="3"/>
        <v>3050.33</v>
      </c>
    </row>
    <row r="133" spans="1:9" ht="108" x14ac:dyDescent="0.2">
      <c r="A133" s="522">
        <v>127</v>
      </c>
      <c r="B133" s="537" t="s">
        <v>3337</v>
      </c>
      <c r="C133" s="520" t="s">
        <v>3556</v>
      </c>
      <c r="D133" s="519" t="s">
        <v>493</v>
      </c>
      <c r="E133" s="520" t="s">
        <v>4180</v>
      </c>
      <c r="F133" s="113" t="s">
        <v>230</v>
      </c>
      <c r="G133" s="518" t="s">
        <v>7</v>
      </c>
      <c r="H133" s="534">
        <f>(1289255)/1000*$H$3</f>
        <v>1289.2550000000001</v>
      </c>
      <c r="I133" s="534">
        <f t="shared" si="3"/>
        <v>1289.2550000000001</v>
      </c>
    </row>
    <row r="134" spans="1:9" ht="72" x14ac:dyDescent="0.2">
      <c r="A134" s="522">
        <v>128</v>
      </c>
      <c r="B134" s="537" t="s">
        <v>3337</v>
      </c>
      <c r="C134" s="520" t="s">
        <v>3558</v>
      </c>
      <c r="D134" s="519" t="s">
        <v>494</v>
      </c>
      <c r="E134" s="520" t="s">
        <v>3557</v>
      </c>
      <c r="F134" s="113" t="s">
        <v>230</v>
      </c>
      <c r="G134" s="518" t="s">
        <v>7</v>
      </c>
      <c r="H134" s="534">
        <f>(998697)/1000*$H$3</f>
        <v>998.697</v>
      </c>
      <c r="I134" s="534">
        <f t="shared" si="3"/>
        <v>998.697</v>
      </c>
    </row>
    <row r="135" spans="1:9" ht="96" x14ac:dyDescent="0.2">
      <c r="A135" s="522">
        <v>129</v>
      </c>
      <c r="B135" s="537" t="s">
        <v>3559</v>
      </c>
      <c r="C135" s="520" t="s">
        <v>3560</v>
      </c>
      <c r="D135" s="519" t="s">
        <v>1008</v>
      </c>
      <c r="E135" s="520" t="s">
        <v>1307</v>
      </c>
      <c r="F135" s="113" t="s">
        <v>7</v>
      </c>
      <c r="G135" s="113" t="s">
        <v>91</v>
      </c>
      <c r="H135" s="534">
        <f>(4794400)/1000*$H$3</f>
        <v>4794.3999999999996</v>
      </c>
      <c r="I135" s="534">
        <f t="shared" si="3"/>
        <v>4794.3999999999996</v>
      </c>
    </row>
    <row r="136" spans="1:9" ht="96" x14ac:dyDescent="0.2">
      <c r="A136" s="522">
        <v>130</v>
      </c>
      <c r="B136" s="537" t="s">
        <v>3561</v>
      </c>
      <c r="C136" s="520" t="s">
        <v>3562</v>
      </c>
      <c r="D136" s="519" t="s">
        <v>603</v>
      </c>
      <c r="E136" s="520" t="s">
        <v>1331</v>
      </c>
      <c r="F136" s="113" t="s">
        <v>7</v>
      </c>
      <c r="G136" s="113" t="s">
        <v>11</v>
      </c>
      <c r="H136" s="534">
        <f>(43708282)/1000*$H$3</f>
        <v>43708.281999999999</v>
      </c>
      <c r="I136" s="534">
        <f t="shared" si="3"/>
        <v>43708.281999999999</v>
      </c>
    </row>
    <row r="137" spans="1:9" ht="72" x14ac:dyDescent="0.2">
      <c r="A137" s="522">
        <v>131</v>
      </c>
      <c r="B137" s="537" t="s">
        <v>3337</v>
      </c>
      <c r="C137" s="520" t="s">
        <v>3563</v>
      </c>
      <c r="D137" s="519" t="s">
        <v>504</v>
      </c>
      <c r="E137" s="520" t="s">
        <v>3564</v>
      </c>
      <c r="F137" s="113" t="s">
        <v>7</v>
      </c>
      <c r="G137" s="113" t="s">
        <v>93</v>
      </c>
      <c r="H137" s="534">
        <f>(1022700)/1000*$H$3</f>
        <v>1022.7</v>
      </c>
      <c r="I137" s="534">
        <f t="shared" si="3"/>
        <v>1022.7</v>
      </c>
    </row>
    <row r="138" spans="1:9" ht="72" x14ac:dyDescent="0.2">
      <c r="A138" s="522">
        <v>132</v>
      </c>
      <c r="B138" s="537" t="s">
        <v>3337</v>
      </c>
      <c r="C138" s="520" t="s">
        <v>3563</v>
      </c>
      <c r="D138" s="519" t="s">
        <v>506</v>
      </c>
      <c r="E138" s="520" t="s">
        <v>3565</v>
      </c>
      <c r="F138" s="113" t="s">
        <v>508</v>
      </c>
      <c r="G138" s="113" t="s">
        <v>86</v>
      </c>
      <c r="H138" s="534">
        <f>(8552344)/1000*$H$3</f>
        <v>8552.3439999999991</v>
      </c>
      <c r="I138" s="534">
        <f t="shared" si="3"/>
        <v>8552.3439999999991</v>
      </c>
    </row>
    <row r="139" spans="1:9" ht="60" x14ac:dyDescent="0.2">
      <c r="A139" s="522">
        <v>133</v>
      </c>
      <c r="B139" s="537" t="s">
        <v>3432</v>
      </c>
      <c r="C139" s="517" t="s">
        <v>4253</v>
      </c>
      <c r="D139" s="516" t="s">
        <v>623</v>
      </c>
      <c r="E139" s="517" t="s">
        <v>1468</v>
      </c>
      <c r="F139" s="113" t="s">
        <v>508</v>
      </c>
      <c r="G139" s="113" t="s">
        <v>16</v>
      </c>
      <c r="H139" s="534">
        <f>(4608712+1700000)/1000*$H$3</f>
        <v>6308.7120000000004</v>
      </c>
      <c r="I139" s="534">
        <f t="shared" si="3"/>
        <v>6308.7120000000004</v>
      </c>
    </row>
    <row r="140" spans="1:9" ht="96" x14ac:dyDescent="0.2">
      <c r="A140" s="522">
        <v>134</v>
      </c>
      <c r="B140" s="537" t="s">
        <v>3418</v>
      </c>
      <c r="C140" s="520" t="s">
        <v>3505</v>
      </c>
      <c r="D140" s="519" t="s">
        <v>966</v>
      </c>
      <c r="E140" s="521" t="s">
        <v>276</v>
      </c>
      <c r="F140" s="113" t="s">
        <v>24</v>
      </c>
      <c r="G140" s="113" t="s">
        <v>95</v>
      </c>
      <c r="H140" s="534">
        <f>(1949000)/1000*$H$3</f>
        <v>1949</v>
      </c>
      <c r="I140" s="534">
        <f t="shared" si="3"/>
        <v>1949</v>
      </c>
    </row>
    <row r="141" spans="1:9" ht="132" x14ac:dyDescent="0.2">
      <c r="A141" s="522">
        <v>135</v>
      </c>
      <c r="B141" s="537" t="s">
        <v>3566</v>
      </c>
      <c r="C141" s="520" t="s">
        <v>3567</v>
      </c>
      <c r="D141" s="519" t="s">
        <v>1231</v>
      </c>
      <c r="E141" s="520" t="s">
        <v>3568</v>
      </c>
      <c r="F141" s="113" t="s">
        <v>24</v>
      </c>
      <c r="G141" s="113" t="s">
        <v>11</v>
      </c>
      <c r="H141" s="534">
        <f>(1430000)/1000*$H$3</f>
        <v>1430</v>
      </c>
      <c r="I141" s="534">
        <f t="shared" si="3"/>
        <v>1430</v>
      </c>
    </row>
    <row r="142" spans="1:9" ht="168" x14ac:dyDescent="0.2">
      <c r="A142" s="522">
        <v>136</v>
      </c>
      <c r="B142" s="537" t="s">
        <v>3499</v>
      </c>
      <c r="C142" s="520" t="s">
        <v>3569</v>
      </c>
      <c r="D142" s="519" t="s">
        <v>856</v>
      </c>
      <c r="E142" s="520" t="s">
        <v>3570</v>
      </c>
      <c r="F142" s="113" t="s">
        <v>86</v>
      </c>
      <c r="G142" s="113" t="s">
        <v>22</v>
      </c>
      <c r="H142" s="534">
        <f>(13589383)/1000*$H$3</f>
        <v>13589.383</v>
      </c>
      <c r="I142" s="534">
        <f t="shared" si="3"/>
        <v>13589.383</v>
      </c>
    </row>
    <row r="143" spans="1:9" ht="144" x14ac:dyDescent="0.2">
      <c r="A143" s="522">
        <v>137</v>
      </c>
      <c r="B143" s="537" t="s">
        <v>3307</v>
      </c>
      <c r="C143" s="520" t="s">
        <v>3571</v>
      </c>
      <c r="D143" s="519" t="s">
        <v>1082</v>
      </c>
      <c r="E143" s="520" t="s">
        <v>3572</v>
      </c>
      <c r="F143" s="113" t="s">
        <v>86</v>
      </c>
      <c r="G143" s="113" t="s">
        <v>95</v>
      </c>
      <c r="H143" s="534">
        <f>(3048480)/1000*$H$3</f>
        <v>3048.48</v>
      </c>
      <c r="I143" s="534">
        <f t="shared" si="3"/>
        <v>3048.48</v>
      </c>
    </row>
    <row r="144" spans="1:9" ht="108" x14ac:dyDescent="0.2">
      <c r="A144" s="522">
        <v>138</v>
      </c>
      <c r="B144" s="537" t="s">
        <v>3316</v>
      </c>
      <c r="C144" s="520" t="s">
        <v>3573</v>
      </c>
      <c r="D144" s="519" t="s">
        <v>920</v>
      </c>
      <c r="E144" s="520" t="s">
        <v>3574</v>
      </c>
      <c r="F144" s="518" t="s">
        <v>86</v>
      </c>
      <c r="G144" s="518" t="s">
        <v>139</v>
      </c>
      <c r="H144" s="534">
        <f>(6100000)/1000*$H$3</f>
        <v>6100</v>
      </c>
      <c r="I144" s="534">
        <f>H144-(2790)/1000*$H$3</f>
        <v>6097.21</v>
      </c>
    </row>
    <row r="145" spans="1:9" ht="96" x14ac:dyDescent="0.2">
      <c r="A145" s="522">
        <v>139</v>
      </c>
      <c r="B145" s="537" t="s">
        <v>3575</v>
      </c>
      <c r="C145" s="520" t="s">
        <v>3576</v>
      </c>
      <c r="D145" s="519" t="s">
        <v>602</v>
      </c>
      <c r="E145" s="520" t="s">
        <v>1029</v>
      </c>
      <c r="F145" s="113" t="s">
        <v>86</v>
      </c>
      <c r="G145" s="113" t="s">
        <v>511</v>
      </c>
      <c r="H145" s="534">
        <f>(6500000)/1000*$H$3</f>
        <v>6500</v>
      </c>
      <c r="I145" s="534">
        <f>H145-(0)/1000*$H$3</f>
        <v>6500</v>
      </c>
    </row>
    <row r="146" spans="1:9" ht="96" x14ac:dyDescent="0.2">
      <c r="A146" s="522">
        <v>140</v>
      </c>
      <c r="B146" s="537" t="s">
        <v>3337</v>
      </c>
      <c r="C146" s="520" t="s">
        <v>3577</v>
      </c>
      <c r="D146" s="519" t="s">
        <v>510</v>
      </c>
      <c r="E146" s="520" t="s">
        <v>3578</v>
      </c>
      <c r="F146" s="113" t="s">
        <v>86</v>
      </c>
      <c r="G146" s="113" t="s">
        <v>511</v>
      </c>
      <c r="H146" s="534">
        <f>(1554362)/1000*$H$3</f>
        <v>1554.3620000000001</v>
      </c>
      <c r="I146" s="534">
        <f>H146-(0)/1000*$H$3</f>
        <v>1554.3620000000001</v>
      </c>
    </row>
    <row r="147" spans="1:9" ht="96" x14ac:dyDescent="0.2">
      <c r="A147" s="522">
        <v>141</v>
      </c>
      <c r="B147" s="537" t="s">
        <v>3435</v>
      </c>
      <c r="C147" s="520" t="s">
        <v>3579</v>
      </c>
      <c r="D147" s="519" t="s">
        <v>824</v>
      </c>
      <c r="E147" s="520" t="s">
        <v>3580</v>
      </c>
      <c r="F147" s="113" t="s">
        <v>58</v>
      </c>
      <c r="G147" s="113" t="s">
        <v>58</v>
      </c>
      <c r="H147" s="534">
        <f>(720000)/1000*$H$3</f>
        <v>720</v>
      </c>
      <c r="I147" s="534">
        <f>H147-(128844)/1000*$H$3</f>
        <v>591.15599999999995</v>
      </c>
    </row>
    <row r="148" spans="1:9" ht="96" x14ac:dyDescent="0.2">
      <c r="A148" s="522">
        <v>142</v>
      </c>
      <c r="B148" s="537" t="s">
        <v>3307</v>
      </c>
      <c r="C148" s="517" t="s">
        <v>3581</v>
      </c>
      <c r="D148" s="519" t="s">
        <v>899</v>
      </c>
      <c r="E148" s="520" t="s">
        <v>3582</v>
      </c>
      <c r="F148" s="113" t="s">
        <v>58</v>
      </c>
      <c r="G148" s="113" t="s">
        <v>9</v>
      </c>
      <c r="H148" s="534">
        <f>(5200000)/1000*$H$3</f>
        <v>5200</v>
      </c>
      <c r="I148" s="534">
        <f t="shared" ref="I148:I155" si="4">H148-(0)/1000*$H$3</f>
        <v>5200</v>
      </c>
    </row>
    <row r="149" spans="1:9" ht="72" x14ac:dyDescent="0.2">
      <c r="A149" s="522">
        <v>143</v>
      </c>
      <c r="B149" s="537" t="s">
        <v>3337</v>
      </c>
      <c r="C149" s="520" t="s">
        <v>3583</v>
      </c>
      <c r="D149" s="519" t="s">
        <v>516</v>
      </c>
      <c r="E149" s="520" t="s">
        <v>3584</v>
      </c>
      <c r="F149" s="113" t="s">
        <v>58</v>
      </c>
      <c r="G149" s="113" t="s">
        <v>58</v>
      </c>
      <c r="H149" s="534">
        <f>(3205702)/1000*$H$3</f>
        <v>3205.7020000000002</v>
      </c>
      <c r="I149" s="534">
        <f t="shared" si="4"/>
        <v>3205.7020000000002</v>
      </c>
    </row>
    <row r="150" spans="1:9" ht="72" x14ac:dyDescent="0.2">
      <c r="A150" s="522">
        <v>144</v>
      </c>
      <c r="B150" s="537" t="s">
        <v>3337</v>
      </c>
      <c r="C150" s="520" t="s">
        <v>3585</v>
      </c>
      <c r="D150" s="519" t="s">
        <v>513</v>
      </c>
      <c r="E150" s="520" t="s">
        <v>515</v>
      </c>
      <c r="F150" s="113" t="s">
        <v>511</v>
      </c>
      <c r="G150" s="113" t="s">
        <v>95</v>
      </c>
      <c r="H150" s="534">
        <f>(5110000)/1000*$H$3</f>
        <v>5110</v>
      </c>
      <c r="I150" s="534">
        <f t="shared" si="4"/>
        <v>5110</v>
      </c>
    </row>
    <row r="151" spans="1:9" ht="168" x14ac:dyDescent="0.2">
      <c r="A151" s="522">
        <v>145</v>
      </c>
      <c r="B151" s="537" t="s">
        <v>3435</v>
      </c>
      <c r="C151" s="520" t="s">
        <v>3586</v>
      </c>
      <c r="D151" s="519" t="s">
        <v>857</v>
      </c>
      <c r="E151" s="520" t="s">
        <v>3587</v>
      </c>
      <c r="F151" s="113" t="s">
        <v>91</v>
      </c>
      <c r="G151" s="518" t="s">
        <v>873</v>
      </c>
      <c r="H151" s="534">
        <f>(9015373)/1000*$H$3</f>
        <v>9015.3729999999996</v>
      </c>
      <c r="I151" s="534">
        <f t="shared" si="4"/>
        <v>9015.3729999999996</v>
      </c>
    </row>
    <row r="152" spans="1:9" ht="96" x14ac:dyDescent="0.2">
      <c r="A152" s="522">
        <v>146</v>
      </c>
      <c r="B152" s="537" t="s">
        <v>3307</v>
      </c>
      <c r="C152" s="517" t="s">
        <v>3588</v>
      </c>
      <c r="D152" s="519" t="s">
        <v>903</v>
      </c>
      <c r="E152" s="520" t="s">
        <v>3589</v>
      </c>
      <c r="F152" s="113" t="s">
        <v>91</v>
      </c>
      <c r="G152" s="113" t="s">
        <v>95</v>
      </c>
      <c r="H152" s="534">
        <f>(3066113)/1000*$H$3</f>
        <v>3066.1129999999998</v>
      </c>
      <c r="I152" s="534">
        <f t="shared" si="4"/>
        <v>3066.1129999999998</v>
      </c>
    </row>
    <row r="153" spans="1:9" ht="96" x14ac:dyDescent="0.2">
      <c r="A153" s="522">
        <v>147</v>
      </c>
      <c r="B153" s="537" t="s">
        <v>3307</v>
      </c>
      <c r="C153" s="520" t="s">
        <v>3590</v>
      </c>
      <c r="D153" s="519" t="s">
        <v>967</v>
      </c>
      <c r="E153" s="520" t="s">
        <v>1143</v>
      </c>
      <c r="F153" s="113" t="s">
        <v>91</v>
      </c>
      <c r="G153" s="113" t="s">
        <v>93</v>
      </c>
      <c r="H153" s="534">
        <f>(460000)/1000*$H$3</f>
        <v>460</v>
      </c>
      <c r="I153" s="534">
        <f t="shared" si="4"/>
        <v>460</v>
      </c>
    </row>
    <row r="154" spans="1:9" ht="96" x14ac:dyDescent="0.2">
      <c r="A154" s="522">
        <v>148</v>
      </c>
      <c r="B154" s="537" t="s">
        <v>3481</v>
      </c>
      <c r="C154" s="517" t="s">
        <v>3591</v>
      </c>
      <c r="D154" s="516" t="s">
        <v>1164</v>
      </c>
      <c r="E154" s="520" t="s">
        <v>3592</v>
      </c>
      <c r="F154" s="113" t="s">
        <v>91</v>
      </c>
      <c r="G154" s="113" t="s">
        <v>95</v>
      </c>
      <c r="H154" s="534">
        <f>(2385000)/1000*$H$3</f>
        <v>2385</v>
      </c>
      <c r="I154" s="534">
        <f t="shared" si="4"/>
        <v>2385</v>
      </c>
    </row>
    <row r="155" spans="1:9" ht="132" x14ac:dyDescent="0.2">
      <c r="A155" s="522">
        <v>149</v>
      </c>
      <c r="B155" s="537" t="s">
        <v>3593</v>
      </c>
      <c r="C155" s="520" t="s">
        <v>3594</v>
      </c>
      <c r="D155" s="519" t="s">
        <v>1229</v>
      </c>
      <c r="E155" s="520" t="s">
        <v>1226</v>
      </c>
      <c r="F155" s="113" t="s">
        <v>91</v>
      </c>
      <c r="G155" s="113" t="s">
        <v>9</v>
      </c>
      <c r="H155" s="534">
        <f>(1269000)/1000*$H$3</f>
        <v>1269</v>
      </c>
      <c r="I155" s="534">
        <f t="shared" si="4"/>
        <v>1269</v>
      </c>
    </row>
    <row r="156" spans="1:9" ht="72" x14ac:dyDescent="0.2">
      <c r="A156" s="522">
        <v>150</v>
      </c>
      <c r="B156" s="537" t="s">
        <v>3595</v>
      </c>
      <c r="C156" s="520" t="s">
        <v>1313</v>
      </c>
      <c r="D156" s="519" t="s">
        <v>596</v>
      </c>
      <c r="E156" s="520" t="s">
        <v>3596</v>
      </c>
      <c r="F156" s="113" t="s">
        <v>91</v>
      </c>
      <c r="G156" s="113" t="s">
        <v>1743</v>
      </c>
      <c r="H156" s="534">
        <f>(643437996)/1000*$H$3</f>
        <v>643437.99600000004</v>
      </c>
      <c r="I156" s="534">
        <f>H156-(323242749+25894212+30130843+582706+506567+6431012+9466678+2847445+3299873+1773039+730584+2798678+4434391+900000+2970163+8287018+5179344+1545849)/1000*$H$3</f>
        <v>212416.84500000003</v>
      </c>
    </row>
    <row r="157" spans="1:9" ht="72" x14ac:dyDescent="0.2">
      <c r="A157" s="522">
        <v>151</v>
      </c>
      <c r="B157" s="537" t="s">
        <v>3337</v>
      </c>
      <c r="C157" s="520" t="s">
        <v>3597</v>
      </c>
      <c r="D157" s="519" t="s">
        <v>522</v>
      </c>
      <c r="E157" s="520" t="s">
        <v>3598</v>
      </c>
      <c r="F157" s="113" t="s">
        <v>91</v>
      </c>
      <c r="G157" s="518" t="s">
        <v>139</v>
      </c>
      <c r="H157" s="534">
        <f>(9056742)/1000*$H$3</f>
        <v>9056.7420000000002</v>
      </c>
      <c r="I157" s="534">
        <f>H157-(0)/1000*$H$3</f>
        <v>9056.7420000000002</v>
      </c>
    </row>
    <row r="158" spans="1:9" ht="168" x14ac:dyDescent="0.2">
      <c r="A158" s="522">
        <v>152</v>
      </c>
      <c r="B158" s="537" t="s">
        <v>3435</v>
      </c>
      <c r="C158" s="520" t="s">
        <v>3532</v>
      </c>
      <c r="D158" s="519" t="s">
        <v>859</v>
      </c>
      <c r="E158" s="520" t="s">
        <v>1055</v>
      </c>
      <c r="F158" s="113" t="s">
        <v>93</v>
      </c>
      <c r="G158" s="518" t="s">
        <v>872</v>
      </c>
      <c r="H158" s="534">
        <f>(21058242)/1000*$H$3</f>
        <v>21058.241999999998</v>
      </c>
      <c r="I158" s="534">
        <f>H158-(0)/1000*$H$3</f>
        <v>21058.241999999998</v>
      </c>
    </row>
    <row r="159" spans="1:9" ht="96" x14ac:dyDescent="0.2">
      <c r="A159" s="522">
        <v>153</v>
      </c>
      <c r="B159" s="537" t="s">
        <v>3307</v>
      </c>
      <c r="C159" s="517" t="s">
        <v>3599</v>
      </c>
      <c r="D159" s="519" t="s">
        <v>900</v>
      </c>
      <c r="E159" s="521" t="s">
        <v>3600</v>
      </c>
      <c r="F159" s="113" t="s">
        <v>93</v>
      </c>
      <c r="G159" s="113" t="s">
        <v>137</v>
      </c>
      <c r="H159" s="534">
        <f>(700000)/1000*$H$3</f>
        <v>700</v>
      </c>
      <c r="I159" s="534">
        <f>H159-(370000)/1000*$H$3</f>
        <v>330</v>
      </c>
    </row>
    <row r="160" spans="1:9" ht="60" x14ac:dyDescent="0.2">
      <c r="A160" s="522">
        <v>154</v>
      </c>
      <c r="B160" s="537" t="s">
        <v>3601</v>
      </c>
      <c r="C160" s="520" t="s">
        <v>3602</v>
      </c>
      <c r="D160" s="519" t="s">
        <v>618</v>
      </c>
      <c r="E160" s="520" t="s">
        <v>3603</v>
      </c>
      <c r="F160" s="113" t="s">
        <v>93</v>
      </c>
      <c r="G160" s="113" t="s">
        <v>9</v>
      </c>
      <c r="H160" s="534">
        <f>(5002224)/1000*$H$3</f>
        <v>5002.2240000000002</v>
      </c>
      <c r="I160" s="534">
        <f>H160-(0)/1000*$H$3</f>
        <v>5002.2240000000002</v>
      </c>
    </row>
    <row r="161" spans="1:9" ht="96" x14ac:dyDescent="0.2">
      <c r="A161" s="522">
        <v>155</v>
      </c>
      <c r="B161" s="537" t="s">
        <v>3307</v>
      </c>
      <c r="C161" s="517" t="s">
        <v>3604</v>
      </c>
      <c r="D161" s="519" t="s">
        <v>901</v>
      </c>
      <c r="E161" s="521" t="s">
        <v>260</v>
      </c>
      <c r="F161" s="113" t="s">
        <v>137</v>
      </c>
      <c r="G161" s="113" t="s">
        <v>95</v>
      </c>
      <c r="H161" s="534">
        <f>(1050000)/1000*$H$3</f>
        <v>1050</v>
      </c>
      <c r="I161" s="534">
        <f>H161-(0)/1000*$H$3</f>
        <v>1050</v>
      </c>
    </row>
    <row r="162" spans="1:9" ht="96" x14ac:dyDescent="0.2">
      <c r="A162" s="522">
        <v>156</v>
      </c>
      <c r="B162" s="537" t="s">
        <v>3605</v>
      </c>
      <c r="C162" s="520" t="s">
        <v>3590</v>
      </c>
      <c r="D162" s="519" t="s">
        <v>968</v>
      </c>
      <c r="E162" s="520" t="s">
        <v>3606</v>
      </c>
      <c r="F162" s="113" t="s">
        <v>137</v>
      </c>
      <c r="G162" s="113" t="s">
        <v>139</v>
      </c>
      <c r="H162" s="534">
        <f>(777278)/1000*$H$3</f>
        <v>777.27800000000002</v>
      </c>
      <c r="I162" s="534">
        <f>H162-(98229)/1000*$H$3</f>
        <v>679.04899999999998</v>
      </c>
    </row>
    <row r="163" spans="1:9" ht="96" x14ac:dyDescent="0.2">
      <c r="A163" s="522">
        <v>157</v>
      </c>
      <c r="B163" s="537" t="s">
        <v>3305</v>
      </c>
      <c r="C163" s="520" t="s">
        <v>3590</v>
      </c>
      <c r="D163" s="519" t="s">
        <v>969</v>
      </c>
      <c r="E163" s="520" t="s">
        <v>3607</v>
      </c>
      <c r="F163" s="113" t="s">
        <v>137</v>
      </c>
      <c r="G163" s="113" t="s">
        <v>139</v>
      </c>
      <c r="H163" s="534">
        <f>(956000)/1000*$H$3</f>
        <v>956</v>
      </c>
      <c r="I163" s="534">
        <f>H163-(341273)/1000*$H$3</f>
        <v>614.72699999999998</v>
      </c>
    </row>
    <row r="164" spans="1:9" ht="96" x14ac:dyDescent="0.2">
      <c r="A164" s="522">
        <v>158</v>
      </c>
      <c r="B164" s="537" t="s">
        <v>3325</v>
      </c>
      <c r="C164" s="520" t="s">
        <v>3590</v>
      </c>
      <c r="D164" s="519" t="s">
        <v>970</v>
      </c>
      <c r="E164" s="520" t="s">
        <v>3608</v>
      </c>
      <c r="F164" s="113" t="s">
        <v>137</v>
      </c>
      <c r="G164" s="113" t="s">
        <v>139</v>
      </c>
      <c r="H164" s="534">
        <f>(790000)/1000*$H$3</f>
        <v>790</v>
      </c>
      <c r="I164" s="534">
        <f>H164-(222000)/1000*$H$3</f>
        <v>568</v>
      </c>
    </row>
    <row r="165" spans="1:9" ht="208.5" customHeight="1" x14ac:dyDescent="0.2">
      <c r="A165" s="522">
        <v>159</v>
      </c>
      <c r="B165" s="537" t="s">
        <v>3575</v>
      </c>
      <c r="C165" s="520" t="s">
        <v>3609</v>
      </c>
      <c r="D165" s="519" t="s">
        <v>605</v>
      </c>
      <c r="E165" s="520" t="s">
        <v>1030</v>
      </c>
      <c r="F165" s="113" t="s">
        <v>137</v>
      </c>
      <c r="G165" s="113" t="s">
        <v>15</v>
      </c>
      <c r="H165" s="534">
        <f>(35378118)/1000*$H$3</f>
        <v>35378.118000000002</v>
      </c>
      <c r="I165" s="534">
        <f>H165-(3938389+901930+3555281+3476986+654073)/1000*$H$3</f>
        <v>22851.459000000003</v>
      </c>
    </row>
    <row r="166" spans="1:9" ht="96" x14ac:dyDescent="0.2">
      <c r="A166" s="522">
        <v>160</v>
      </c>
      <c r="B166" s="537" t="s">
        <v>3561</v>
      </c>
      <c r="C166" s="520" t="s">
        <v>3610</v>
      </c>
      <c r="D166" s="519" t="s">
        <v>608</v>
      </c>
      <c r="E166" s="520" t="s">
        <v>1335</v>
      </c>
      <c r="F166" s="113" t="s">
        <v>137</v>
      </c>
      <c r="G166" s="113" t="s">
        <v>606</v>
      </c>
      <c r="H166" s="534">
        <f>(33543354)/1000*$H$3</f>
        <v>33543.353999999999</v>
      </c>
      <c r="I166" s="534">
        <f>H166-(4632327+4377223+2736212+684057)/1000*$H$3</f>
        <v>21113.535</v>
      </c>
    </row>
    <row r="167" spans="1:9" ht="96" x14ac:dyDescent="0.2">
      <c r="A167" s="522">
        <v>161</v>
      </c>
      <c r="B167" s="537" t="s">
        <v>3561</v>
      </c>
      <c r="C167" s="520" t="s">
        <v>3611</v>
      </c>
      <c r="D167" s="519" t="s">
        <v>609</v>
      </c>
      <c r="E167" s="520" t="s">
        <v>3612</v>
      </c>
      <c r="F167" s="113" t="s">
        <v>137</v>
      </c>
      <c r="G167" s="113" t="s">
        <v>610</v>
      </c>
      <c r="H167" s="534">
        <f>(18037985+118305)/1000*$H$3</f>
        <v>18156.29</v>
      </c>
      <c r="I167" s="534">
        <f>H167-(11424321+45196)/1000*$H$3</f>
        <v>6686.773000000001</v>
      </c>
    </row>
    <row r="168" spans="1:9" ht="84" x14ac:dyDescent="0.2">
      <c r="A168" s="522">
        <v>162</v>
      </c>
      <c r="B168" s="537" t="s">
        <v>3561</v>
      </c>
      <c r="C168" s="520" t="s">
        <v>3613</v>
      </c>
      <c r="D168" s="519" t="s">
        <v>1339</v>
      </c>
      <c r="E168" s="520" t="s">
        <v>1340</v>
      </c>
      <c r="F168" s="113" t="s">
        <v>137</v>
      </c>
      <c r="G168" s="113" t="s">
        <v>610</v>
      </c>
      <c r="H168" s="534">
        <f>(15739574+113436)/1000*$H$3</f>
        <v>15853.01</v>
      </c>
      <c r="I168" s="534">
        <f>H168-((15739574+113436))/1000*$H$3</f>
        <v>0</v>
      </c>
    </row>
    <row r="169" spans="1:9" ht="60" x14ac:dyDescent="0.2">
      <c r="A169" s="522">
        <v>163</v>
      </c>
      <c r="B169" s="537" t="s">
        <v>3432</v>
      </c>
      <c r="C169" s="517" t="s">
        <v>4254</v>
      </c>
      <c r="D169" s="516" t="s">
        <v>621</v>
      </c>
      <c r="E169" s="517" t="s">
        <v>1467</v>
      </c>
      <c r="F169" s="113" t="s">
        <v>137</v>
      </c>
      <c r="G169" s="113" t="s">
        <v>9</v>
      </c>
      <c r="H169" s="534">
        <f>(1509648+1083366)/1000*$H$3</f>
        <v>2593.0140000000001</v>
      </c>
      <c r="I169" s="534">
        <f t="shared" ref="I169:I175" si="5">H169-(0)/1000*$H$3</f>
        <v>2593.0140000000001</v>
      </c>
    </row>
    <row r="170" spans="1:9" ht="96" x14ac:dyDescent="0.2">
      <c r="A170" s="522">
        <v>164</v>
      </c>
      <c r="B170" s="537" t="s">
        <v>3435</v>
      </c>
      <c r="C170" s="520" t="s">
        <v>3579</v>
      </c>
      <c r="D170" s="519" t="s">
        <v>832</v>
      </c>
      <c r="E170" s="520" t="s">
        <v>825</v>
      </c>
      <c r="F170" s="113" t="s">
        <v>60</v>
      </c>
      <c r="G170" s="113" t="s">
        <v>60</v>
      </c>
      <c r="H170" s="534">
        <f>(700000)/1000*$H$3</f>
        <v>700</v>
      </c>
      <c r="I170" s="534">
        <f t="shared" si="5"/>
        <v>700</v>
      </c>
    </row>
    <row r="171" spans="1:9" ht="168" x14ac:dyDescent="0.2">
      <c r="A171" s="522">
        <v>165</v>
      </c>
      <c r="B171" s="537" t="s">
        <v>3435</v>
      </c>
      <c r="C171" s="520" t="s">
        <v>3532</v>
      </c>
      <c r="D171" s="519" t="s">
        <v>864</v>
      </c>
      <c r="E171" s="520" t="s">
        <v>1056</v>
      </c>
      <c r="F171" s="113" t="s">
        <v>60</v>
      </c>
      <c r="G171" s="113" t="s">
        <v>95</v>
      </c>
      <c r="H171" s="534">
        <f>(2279276)/1000*$H$3</f>
        <v>2279.2759999999998</v>
      </c>
      <c r="I171" s="534">
        <f t="shared" si="5"/>
        <v>2279.2759999999998</v>
      </c>
    </row>
    <row r="172" spans="1:9" ht="96" x14ac:dyDescent="0.2">
      <c r="A172" s="522">
        <v>166</v>
      </c>
      <c r="B172" s="537" t="s">
        <v>3340</v>
      </c>
      <c r="C172" s="517" t="s">
        <v>3614</v>
      </c>
      <c r="D172" s="519" t="s">
        <v>906</v>
      </c>
      <c r="E172" s="520" t="s">
        <v>3615</v>
      </c>
      <c r="F172" s="113" t="s">
        <v>60</v>
      </c>
      <c r="G172" s="113" t="s">
        <v>139</v>
      </c>
      <c r="H172" s="534">
        <f>(5238644)/1000*$H$3</f>
        <v>5238.6440000000002</v>
      </c>
      <c r="I172" s="534">
        <f t="shared" si="5"/>
        <v>5238.6440000000002</v>
      </c>
    </row>
    <row r="173" spans="1:9" ht="96" x14ac:dyDescent="0.2">
      <c r="A173" s="522">
        <v>167</v>
      </c>
      <c r="B173" s="537" t="s">
        <v>3616</v>
      </c>
      <c r="C173" s="520" t="s">
        <v>3617</v>
      </c>
      <c r="D173" s="519" t="s">
        <v>973</v>
      </c>
      <c r="E173" s="520" t="s">
        <v>3618</v>
      </c>
      <c r="F173" s="113" t="s">
        <v>60</v>
      </c>
      <c r="G173" s="113" t="s">
        <v>9</v>
      </c>
      <c r="H173" s="534">
        <f>(2597207)/1000*$H$3</f>
        <v>2597.2069999999999</v>
      </c>
      <c r="I173" s="534">
        <f t="shared" si="5"/>
        <v>2597.2069999999999</v>
      </c>
    </row>
    <row r="174" spans="1:9" ht="168" x14ac:dyDescent="0.2">
      <c r="A174" s="522">
        <v>168</v>
      </c>
      <c r="B174" s="537" t="s">
        <v>3435</v>
      </c>
      <c r="C174" s="520" t="s">
        <v>3619</v>
      </c>
      <c r="D174" s="519" t="s">
        <v>863</v>
      </c>
      <c r="E174" s="520" t="s">
        <v>1057</v>
      </c>
      <c r="F174" s="113" t="s">
        <v>95</v>
      </c>
      <c r="G174" s="113" t="s">
        <v>9</v>
      </c>
      <c r="H174" s="534">
        <f>(1136955)/1000*$H$3</f>
        <v>1136.9549999999999</v>
      </c>
      <c r="I174" s="534">
        <f t="shared" si="5"/>
        <v>1136.9549999999999</v>
      </c>
    </row>
    <row r="175" spans="1:9" ht="96" x14ac:dyDescent="0.2">
      <c r="A175" s="522">
        <v>169</v>
      </c>
      <c r="B175" s="537" t="s">
        <v>3307</v>
      </c>
      <c r="C175" s="517" t="s">
        <v>3620</v>
      </c>
      <c r="D175" s="519" t="s">
        <v>908</v>
      </c>
      <c r="E175" s="520" t="s">
        <v>3621</v>
      </c>
      <c r="F175" s="113" t="s">
        <v>95</v>
      </c>
      <c r="G175" s="113" t="s">
        <v>9</v>
      </c>
      <c r="H175" s="534">
        <f>(2995000)/1000*$H$3</f>
        <v>2995</v>
      </c>
      <c r="I175" s="534">
        <f t="shared" si="5"/>
        <v>2995</v>
      </c>
    </row>
    <row r="176" spans="1:9" ht="180" x14ac:dyDescent="0.2">
      <c r="A176" s="522">
        <v>170</v>
      </c>
      <c r="B176" s="537" t="s">
        <v>3622</v>
      </c>
      <c r="C176" s="520" t="s">
        <v>3623</v>
      </c>
      <c r="D176" s="519" t="s">
        <v>626</v>
      </c>
      <c r="E176" s="520" t="s">
        <v>3624</v>
      </c>
      <c r="F176" s="113" t="s">
        <v>95</v>
      </c>
      <c r="G176" s="113" t="s">
        <v>11</v>
      </c>
      <c r="H176" s="534">
        <f>(19671702+1204838+5361278)/1000*$H$3</f>
        <v>26237.817999999999</v>
      </c>
      <c r="I176" s="534">
        <f>H176-(1399023+56345+1515335)/1000*$H$3</f>
        <v>23267.114999999998</v>
      </c>
    </row>
    <row r="177" spans="1:9" ht="72" x14ac:dyDescent="0.2">
      <c r="A177" s="522">
        <v>171</v>
      </c>
      <c r="B177" s="537" t="s">
        <v>3625</v>
      </c>
      <c r="C177" s="520" t="s">
        <v>3627</v>
      </c>
      <c r="D177" s="519" t="s">
        <v>614</v>
      </c>
      <c r="E177" s="520" t="s">
        <v>3626</v>
      </c>
      <c r="F177" s="113" t="s">
        <v>95</v>
      </c>
      <c r="G177" s="113" t="s">
        <v>104</v>
      </c>
      <c r="H177" s="534">
        <f>(10466390)/1000*$H$3</f>
        <v>10466.39</v>
      </c>
      <c r="I177" s="534">
        <f>H177-(0)/1000*$H$3</f>
        <v>10466.39</v>
      </c>
    </row>
    <row r="178" spans="1:9" ht="132" x14ac:dyDescent="0.2">
      <c r="A178" s="522">
        <v>172</v>
      </c>
      <c r="B178" s="537" t="s">
        <v>3430</v>
      </c>
      <c r="C178" s="520" t="s">
        <v>3628</v>
      </c>
      <c r="D178" s="519" t="s">
        <v>2116</v>
      </c>
      <c r="E178" s="520" t="s">
        <v>3629</v>
      </c>
      <c r="F178" s="113" t="s">
        <v>95</v>
      </c>
      <c r="G178" s="113" t="s">
        <v>21</v>
      </c>
      <c r="H178" s="534">
        <f>(19971733.7)/1000*$H$3</f>
        <v>19971.733700000001</v>
      </c>
      <c r="I178" s="534">
        <f>H178-(0)/1000*$H$3</f>
        <v>19971.733700000001</v>
      </c>
    </row>
    <row r="179" spans="1:9" ht="96" x14ac:dyDescent="0.2">
      <c r="A179" s="522">
        <v>173</v>
      </c>
      <c r="B179" s="537" t="s">
        <v>3469</v>
      </c>
      <c r="C179" s="520" t="s">
        <v>3630</v>
      </c>
      <c r="D179" s="519" t="s">
        <v>612</v>
      </c>
      <c r="E179" s="520" t="s">
        <v>720</v>
      </c>
      <c r="F179" s="113" t="s">
        <v>95</v>
      </c>
      <c r="G179" s="113" t="s">
        <v>613</v>
      </c>
      <c r="H179" s="534">
        <f>(5033317+399809)/1000*$H$3</f>
        <v>5433.1260000000002</v>
      </c>
      <c r="I179" s="534">
        <f>H179-(1550269+696868+404745)/1000*$H$3</f>
        <v>2781.2440000000001</v>
      </c>
    </row>
    <row r="180" spans="1:9" ht="132" x14ac:dyDescent="0.2">
      <c r="A180" s="522">
        <v>174</v>
      </c>
      <c r="B180" s="537" t="s">
        <v>3631</v>
      </c>
      <c r="C180" s="520" t="s">
        <v>3632</v>
      </c>
      <c r="D180" s="519" t="s">
        <v>622</v>
      </c>
      <c r="E180" s="520" t="s">
        <v>1122</v>
      </c>
      <c r="F180" s="113" t="s">
        <v>139</v>
      </c>
      <c r="G180" s="113" t="s">
        <v>211</v>
      </c>
      <c r="H180" s="534">
        <f>(5412330)/1000*$H$3</f>
        <v>5412.33</v>
      </c>
      <c r="I180" s="534">
        <f>H180-(0)/1000*$H$3</f>
        <v>5412.33</v>
      </c>
    </row>
    <row r="181" spans="1:9" ht="96" x14ac:dyDescent="0.2">
      <c r="A181" s="522">
        <v>175</v>
      </c>
      <c r="B181" s="537" t="s">
        <v>3561</v>
      </c>
      <c r="C181" s="520" t="s">
        <v>3611</v>
      </c>
      <c r="D181" s="519" t="s">
        <v>1341</v>
      </c>
      <c r="E181" s="520" t="s">
        <v>1344</v>
      </c>
      <c r="F181" s="113" t="s">
        <v>9</v>
      </c>
      <c r="G181" s="113" t="s">
        <v>20</v>
      </c>
      <c r="H181" s="534">
        <f>(13874438+1564379+417525)/1000*$H$3</f>
        <v>15856.342000000001</v>
      </c>
      <c r="I181" s="534">
        <f>H181-(0)/1000*$H$3</f>
        <v>15856.342000000001</v>
      </c>
    </row>
    <row r="182" spans="1:9" ht="96" x14ac:dyDescent="0.2">
      <c r="A182" s="522">
        <v>176</v>
      </c>
      <c r="B182" s="537" t="s">
        <v>3633</v>
      </c>
      <c r="C182" s="520" t="s">
        <v>3617</v>
      </c>
      <c r="D182" s="519" t="s">
        <v>974</v>
      </c>
      <c r="E182" s="521" t="s">
        <v>3634</v>
      </c>
      <c r="F182" s="113" t="s">
        <v>211</v>
      </c>
      <c r="G182" s="113" t="s">
        <v>11</v>
      </c>
      <c r="H182" s="534">
        <f>(4745324)/1000*$H$3</f>
        <v>4745.3239999999996</v>
      </c>
      <c r="I182" s="534">
        <f>H182-(0)/1000*$H$3</f>
        <v>4745.3239999999996</v>
      </c>
    </row>
    <row r="183" spans="1:9" ht="96" x14ac:dyDescent="0.2">
      <c r="A183" s="522">
        <v>177</v>
      </c>
      <c r="B183" s="537" t="s">
        <v>3633</v>
      </c>
      <c r="C183" s="520" t="s">
        <v>3617</v>
      </c>
      <c r="D183" s="519" t="s">
        <v>975</v>
      </c>
      <c r="E183" s="521" t="s">
        <v>288</v>
      </c>
      <c r="F183" s="113" t="s">
        <v>211</v>
      </c>
      <c r="G183" s="113" t="s">
        <v>11</v>
      </c>
      <c r="H183" s="534">
        <f>(2553018)/1000*$H$3</f>
        <v>2553.018</v>
      </c>
      <c r="I183" s="534">
        <f>H183-(0)/1000*$H$3</f>
        <v>2553.018</v>
      </c>
    </row>
    <row r="184" spans="1:9" ht="96" x14ac:dyDescent="0.2">
      <c r="A184" s="522">
        <v>178</v>
      </c>
      <c r="B184" s="537" t="s">
        <v>3633</v>
      </c>
      <c r="C184" s="520" t="s">
        <v>3617</v>
      </c>
      <c r="D184" s="519" t="s">
        <v>976</v>
      </c>
      <c r="E184" s="521" t="s">
        <v>3635</v>
      </c>
      <c r="F184" s="113" t="s">
        <v>211</v>
      </c>
      <c r="G184" s="113" t="s">
        <v>11</v>
      </c>
      <c r="H184" s="534">
        <f>(500000)/1000*$H$3</f>
        <v>500</v>
      </c>
      <c r="I184" s="534">
        <f>H184-(0)/1000*$H$3</f>
        <v>500</v>
      </c>
    </row>
    <row r="185" spans="1:9" ht="60" x14ac:dyDescent="0.2">
      <c r="A185" s="522">
        <v>179</v>
      </c>
      <c r="B185" s="537" t="s">
        <v>3636</v>
      </c>
      <c r="C185" s="520" t="s">
        <v>3637</v>
      </c>
      <c r="D185" s="519" t="s">
        <v>597</v>
      </c>
      <c r="E185" s="520" t="s">
        <v>1312</v>
      </c>
      <c r="F185" s="113" t="s">
        <v>211</v>
      </c>
      <c r="G185" s="113" t="s">
        <v>11</v>
      </c>
      <c r="H185" s="534">
        <f>(85900080)/1000*$H$3</f>
        <v>85900.08</v>
      </c>
      <c r="I185" s="534">
        <f>H185-(2220688+614603+606803)/1000*$H$3</f>
        <v>82457.986000000004</v>
      </c>
    </row>
    <row r="186" spans="1:9" ht="132" x14ac:dyDescent="0.2">
      <c r="A186" s="522">
        <v>180</v>
      </c>
      <c r="B186" s="537" t="s">
        <v>3337</v>
      </c>
      <c r="C186" s="520" t="s">
        <v>3638</v>
      </c>
      <c r="D186" s="519" t="s">
        <v>520</v>
      </c>
      <c r="E186" s="520" t="s">
        <v>3639</v>
      </c>
      <c r="F186" s="113" t="s">
        <v>211</v>
      </c>
      <c r="G186" s="518" t="s">
        <v>519</v>
      </c>
      <c r="H186" s="534">
        <f>(5120965)/1000*$H$3</f>
        <v>5120.9650000000001</v>
      </c>
      <c r="I186" s="534">
        <f t="shared" ref="I186:I191" si="6">H186-(0)/1000*$H$3</f>
        <v>5120.9650000000001</v>
      </c>
    </row>
    <row r="187" spans="1:9" ht="168" x14ac:dyDescent="0.2">
      <c r="A187" s="522">
        <v>181</v>
      </c>
      <c r="B187" s="537" t="s">
        <v>3435</v>
      </c>
      <c r="C187" s="520" t="s">
        <v>3640</v>
      </c>
      <c r="D187" s="519" t="s">
        <v>866</v>
      </c>
      <c r="E187" s="520" t="s">
        <v>3641</v>
      </c>
      <c r="F187" s="113" t="s">
        <v>101</v>
      </c>
      <c r="G187" s="518" t="s">
        <v>638</v>
      </c>
      <c r="H187" s="534">
        <f>(8510364)/1000*$H$3</f>
        <v>8510.3639999999996</v>
      </c>
      <c r="I187" s="534">
        <f t="shared" si="6"/>
        <v>8510.3639999999996</v>
      </c>
    </row>
    <row r="188" spans="1:9" ht="60" x14ac:dyDescent="0.2">
      <c r="A188" s="522">
        <v>182</v>
      </c>
      <c r="B188" s="537" t="s">
        <v>3642</v>
      </c>
      <c r="C188" s="520" t="s">
        <v>3643</v>
      </c>
      <c r="D188" s="519" t="s">
        <v>953</v>
      </c>
      <c r="E188" s="520" t="s">
        <v>3644</v>
      </c>
      <c r="F188" s="113" t="s">
        <v>101</v>
      </c>
      <c r="G188" s="113" t="s">
        <v>101</v>
      </c>
      <c r="H188" s="534">
        <f>(623681)/1000*$H$3</f>
        <v>623.68100000000004</v>
      </c>
      <c r="I188" s="534">
        <f t="shared" si="6"/>
        <v>623.68100000000004</v>
      </c>
    </row>
    <row r="189" spans="1:9" ht="132" x14ac:dyDescent="0.2">
      <c r="A189" s="522">
        <v>183</v>
      </c>
      <c r="B189" s="537" t="s">
        <v>3645</v>
      </c>
      <c r="C189" s="520" t="s">
        <v>3646</v>
      </c>
      <c r="D189" s="519" t="s">
        <v>634</v>
      </c>
      <c r="E189" s="520" t="s">
        <v>1289</v>
      </c>
      <c r="F189" s="113" t="s">
        <v>101</v>
      </c>
      <c r="G189" s="113" t="s">
        <v>103</v>
      </c>
      <c r="H189" s="534">
        <f>(7649009)/1000*$H$3</f>
        <v>7649.009</v>
      </c>
      <c r="I189" s="534">
        <f t="shared" si="6"/>
        <v>7649.009</v>
      </c>
    </row>
    <row r="190" spans="1:9" ht="72" x14ac:dyDescent="0.2">
      <c r="A190" s="522">
        <v>184</v>
      </c>
      <c r="B190" s="537" t="s">
        <v>3337</v>
      </c>
      <c r="C190" s="520" t="s">
        <v>3647</v>
      </c>
      <c r="D190" s="519" t="s">
        <v>524</v>
      </c>
      <c r="E190" s="520" t="s">
        <v>3648</v>
      </c>
      <c r="F190" s="113" t="s">
        <v>101</v>
      </c>
      <c r="G190" s="518" t="s">
        <v>141</v>
      </c>
      <c r="H190" s="534">
        <f>(3928184)/1000*$H$3</f>
        <v>3928.1840000000002</v>
      </c>
      <c r="I190" s="534">
        <f t="shared" si="6"/>
        <v>3928.1840000000002</v>
      </c>
    </row>
    <row r="191" spans="1:9" ht="96" x14ac:dyDescent="0.2">
      <c r="A191" s="522">
        <v>185</v>
      </c>
      <c r="B191" s="537" t="s">
        <v>3435</v>
      </c>
      <c r="C191" s="520" t="s">
        <v>3649</v>
      </c>
      <c r="D191" s="519" t="s">
        <v>828</v>
      </c>
      <c r="E191" s="520" t="s">
        <v>59</v>
      </c>
      <c r="F191" s="113" t="s">
        <v>61</v>
      </c>
      <c r="G191" s="113" t="s">
        <v>61</v>
      </c>
      <c r="H191" s="534">
        <f>(720000)/1000*$H$3</f>
        <v>720</v>
      </c>
      <c r="I191" s="534">
        <f t="shared" si="6"/>
        <v>720</v>
      </c>
    </row>
    <row r="192" spans="1:9" ht="84" x14ac:dyDescent="0.2">
      <c r="A192" s="522">
        <v>186</v>
      </c>
      <c r="B192" s="537" t="s">
        <v>3302</v>
      </c>
      <c r="C192" s="520" t="s">
        <v>3650</v>
      </c>
      <c r="D192" s="519" t="s">
        <v>663</v>
      </c>
      <c r="E192" s="520" t="s">
        <v>3651</v>
      </c>
      <c r="F192" s="113" t="s">
        <v>61</v>
      </c>
      <c r="G192" s="518" t="s">
        <v>3270</v>
      </c>
      <c r="H192" s="534">
        <f>(94377216.5)/1000*$H$3</f>
        <v>94377.216499999995</v>
      </c>
      <c r="I192" s="534">
        <f>H192-(1786257+876476+1566600)/1000*$H$3</f>
        <v>90147.883499999996</v>
      </c>
    </row>
    <row r="193" spans="1:9" ht="60" x14ac:dyDescent="0.2">
      <c r="A193" s="522">
        <v>187</v>
      </c>
      <c r="B193" s="537" t="s">
        <v>3302</v>
      </c>
      <c r="C193" s="520" t="s">
        <v>3652</v>
      </c>
      <c r="D193" s="519" t="s">
        <v>933</v>
      </c>
      <c r="E193" s="521" t="s">
        <v>1110</v>
      </c>
      <c r="F193" s="113" t="s">
        <v>61</v>
      </c>
      <c r="G193" s="113" t="s">
        <v>61</v>
      </c>
      <c r="H193" s="534">
        <f>(1441492)/1000*$H$3</f>
        <v>1441.492</v>
      </c>
      <c r="I193" s="534">
        <f t="shared" ref="I193:I198" si="7">H193-(0)/1000*$H$3</f>
        <v>1441.492</v>
      </c>
    </row>
    <row r="194" spans="1:9" ht="60" x14ac:dyDescent="0.2">
      <c r="A194" s="522">
        <v>188</v>
      </c>
      <c r="B194" s="537" t="s">
        <v>3432</v>
      </c>
      <c r="C194" s="517" t="s">
        <v>3653</v>
      </c>
      <c r="D194" s="516" t="s">
        <v>624</v>
      </c>
      <c r="E194" s="520" t="s">
        <v>3654</v>
      </c>
      <c r="F194" s="113" t="s">
        <v>61</v>
      </c>
      <c r="G194" s="113" t="s">
        <v>103</v>
      </c>
      <c r="H194" s="534">
        <f>(1330000)/1000*$H$3</f>
        <v>1330</v>
      </c>
      <c r="I194" s="534">
        <f t="shared" si="7"/>
        <v>1330</v>
      </c>
    </row>
    <row r="195" spans="1:9" ht="168" x14ac:dyDescent="0.2">
      <c r="A195" s="522">
        <v>189</v>
      </c>
      <c r="B195" s="537" t="s">
        <v>3435</v>
      </c>
      <c r="C195" s="520" t="s">
        <v>3655</v>
      </c>
      <c r="D195" s="519" t="s">
        <v>868</v>
      </c>
      <c r="E195" s="520" t="s">
        <v>869</v>
      </c>
      <c r="F195" s="113" t="s">
        <v>103</v>
      </c>
      <c r="G195" s="113" t="s">
        <v>104</v>
      </c>
      <c r="H195" s="534">
        <f>(2290335)/1000*$H$3</f>
        <v>2290.335</v>
      </c>
      <c r="I195" s="534">
        <f t="shared" si="7"/>
        <v>2290.335</v>
      </c>
    </row>
    <row r="196" spans="1:9" ht="144" x14ac:dyDescent="0.2">
      <c r="A196" s="522">
        <v>190</v>
      </c>
      <c r="B196" s="537" t="s">
        <v>3307</v>
      </c>
      <c r="C196" s="520" t="s">
        <v>3656</v>
      </c>
      <c r="D196" s="519" t="s">
        <v>916</v>
      </c>
      <c r="E196" s="520" t="s">
        <v>3657</v>
      </c>
      <c r="F196" s="113" t="s">
        <v>103</v>
      </c>
      <c r="G196" s="518" t="s">
        <v>915</v>
      </c>
      <c r="H196" s="534">
        <f>(3942141)/1000*$H$3</f>
        <v>3942.1410000000001</v>
      </c>
      <c r="I196" s="534">
        <f t="shared" si="7"/>
        <v>3942.1410000000001</v>
      </c>
    </row>
    <row r="197" spans="1:9" ht="84" x14ac:dyDescent="0.2">
      <c r="A197" s="522">
        <v>191</v>
      </c>
      <c r="B197" s="537" t="s">
        <v>3302</v>
      </c>
      <c r="C197" s="520" t="s">
        <v>3650</v>
      </c>
      <c r="D197" s="519" t="s">
        <v>665</v>
      </c>
      <c r="E197" s="521" t="s">
        <v>3658</v>
      </c>
      <c r="F197" s="113" t="s">
        <v>103</v>
      </c>
      <c r="G197" s="518" t="s">
        <v>1737</v>
      </c>
      <c r="H197" s="534">
        <f>(32773443)/1000*$H$3</f>
        <v>32773.442999999999</v>
      </c>
      <c r="I197" s="534">
        <f t="shared" si="7"/>
        <v>32773.442999999999</v>
      </c>
    </row>
    <row r="198" spans="1:9" ht="132" x14ac:dyDescent="0.2">
      <c r="A198" s="522">
        <v>192</v>
      </c>
      <c r="B198" s="537" t="s">
        <v>3659</v>
      </c>
      <c r="C198" s="520" t="s">
        <v>3660</v>
      </c>
      <c r="D198" s="519" t="s">
        <v>1228</v>
      </c>
      <c r="E198" s="520" t="s">
        <v>3661</v>
      </c>
      <c r="F198" s="113" t="s">
        <v>103</v>
      </c>
      <c r="G198" s="113" t="s">
        <v>16</v>
      </c>
      <c r="H198" s="534">
        <f>(1511338)/1000*$H$3</f>
        <v>1511.338</v>
      </c>
      <c r="I198" s="534">
        <f t="shared" si="7"/>
        <v>1511.338</v>
      </c>
    </row>
    <row r="199" spans="1:9" ht="192" x14ac:dyDescent="0.2">
      <c r="A199" s="522">
        <v>193</v>
      </c>
      <c r="B199" s="537" t="s">
        <v>3662</v>
      </c>
      <c r="C199" s="520" t="s">
        <v>3663</v>
      </c>
      <c r="D199" s="519" t="s">
        <v>3088</v>
      </c>
      <c r="E199" s="520" t="s">
        <v>2024</v>
      </c>
      <c r="F199" s="113" t="s">
        <v>22</v>
      </c>
      <c r="G199" s="113" t="s">
        <v>638</v>
      </c>
      <c r="H199" s="534">
        <f>(33250583+12019929+3070000)/1000*$H$3</f>
        <v>48340.512000000002</v>
      </c>
      <c r="I199" s="534">
        <f>H199-(105595+2427875+3290720+2728228)/1000*$H$3</f>
        <v>39788.094000000005</v>
      </c>
    </row>
    <row r="200" spans="1:9" ht="96" x14ac:dyDescent="0.2">
      <c r="A200" s="522">
        <v>194</v>
      </c>
      <c r="B200" s="537" t="s">
        <v>3561</v>
      </c>
      <c r="C200" s="520" t="s">
        <v>3664</v>
      </c>
      <c r="D200" s="519" t="s">
        <v>1358</v>
      </c>
      <c r="E200" s="520" t="s">
        <v>3665</v>
      </c>
      <c r="F200" s="113" t="s">
        <v>22</v>
      </c>
      <c r="G200" s="113" t="s">
        <v>531</v>
      </c>
      <c r="H200" s="534">
        <f>(27309168+631762)/1000*$H$3</f>
        <v>27940.93</v>
      </c>
      <c r="I200" s="534">
        <f t="shared" ref="I200:I209" si="8">H200-(0)/1000*$H$3</f>
        <v>27940.93</v>
      </c>
    </row>
    <row r="201" spans="1:9" ht="132" x14ac:dyDescent="0.2">
      <c r="A201" s="522">
        <v>195</v>
      </c>
      <c r="B201" s="537" t="s">
        <v>3666</v>
      </c>
      <c r="C201" s="520" t="s">
        <v>3667</v>
      </c>
      <c r="D201" s="519" t="s">
        <v>1948</v>
      </c>
      <c r="E201" s="520" t="s">
        <v>1443</v>
      </c>
      <c r="F201" s="113" t="s">
        <v>22</v>
      </c>
      <c r="G201" s="113" t="s">
        <v>18</v>
      </c>
      <c r="H201" s="534">
        <f>(10550707)/1000*$H$3</f>
        <v>10550.707</v>
      </c>
      <c r="I201" s="534">
        <f t="shared" si="8"/>
        <v>10550.707</v>
      </c>
    </row>
    <row r="202" spans="1:9" ht="156" x14ac:dyDescent="0.2">
      <c r="A202" s="522">
        <v>196</v>
      </c>
      <c r="B202" s="537" t="s">
        <v>3435</v>
      </c>
      <c r="C202" s="520" t="s">
        <v>3668</v>
      </c>
      <c r="D202" s="519" t="s">
        <v>871</v>
      </c>
      <c r="E202" s="520" t="s">
        <v>3669</v>
      </c>
      <c r="F202" s="113" t="s">
        <v>104</v>
      </c>
      <c r="G202" s="518" t="s">
        <v>874</v>
      </c>
      <c r="H202" s="534">
        <f>(7629477)/1000*$H$3</f>
        <v>7629.4769999999999</v>
      </c>
      <c r="I202" s="534">
        <f t="shared" si="8"/>
        <v>7629.4769999999999</v>
      </c>
    </row>
    <row r="203" spans="1:9" ht="84" x14ac:dyDescent="0.2">
      <c r="A203" s="522">
        <v>197</v>
      </c>
      <c r="B203" s="537" t="s">
        <v>3670</v>
      </c>
      <c r="C203" s="520" t="s">
        <v>3671</v>
      </c>
      <c r="D203" s="514" t="s">
        <v>978</v>
      </c>
      <c r="E203" s="520" t="s">
        <v>3672</v>
      </c>
      <c r="F203" s="113" t="s">
        <v>104</v>
      </c>
      <c r="G203" s="113" t="s">
        <v>62</v>
      </c>
      <c r="H203" s="534">
        <f>(485000)/1000*$H$3</f>
        <v>485</v>
      </c>
      <c r="I203" s="534">
        <f t="shared" si="8"/>
        <v>485</v>
      </c>
    </row>
    <row r="204" spans="1:9" ht="96" x14ac:dyDescent="0.2">
      <c r="A204" s="522">
        <v>198</v>
      </c>
      <c r="B204" s="537" t="s">
        <v>3561</v>
      </c>
      <c r="C204" s="520" t="s">
        <v>3673</v>
      </c>
      <c r="D204" s="519" t="s">
        <v>1363</v>
      </c>
      <c r="E204" s="520" t="s">
        <v>1369</v>
      </c>
      <c r="F204" s="113" t="s">
        <v>104</v>
      </c>
      <c r="G204" s="113" t="s">
        <v>531</v>
      </c>
      <c r="H204" s="534">
        <f>(15387432+135632)/1000*$H$3</f>
        <v>15523.064</v>
      </c>
      <c r="I204" s="534">
        <f t="shared" si="8"/>
        <v>15523.064</v>
      </c>
    </row>
    <row r="205" spans="1:9" ht="72" x14ac:dyDescent="0.2">
      <c r="A205" s="522">
        <v>199</v>
      </c>
      <c r="B205" s="537" t="s">
        <v>3337</v>
      </c>
      <c r="C205" s="520" t="s">
        <v>3674</v>
      </c>
      <c r="D205" s="519" t="s">
        <v>527</v>
      </c>
      <c r="E205" s="520" t="s">
        <v>1429</v>
      </c>
      <c r="F205" s="113" t="s">
        <v>104</v>
      </c>
      <c r="G205" s="518" t="s">
        <v>20</v>
      </c>
      <c r="H205" s="534">
        <f>(1807561)/1000*$H$3</f>
        <v>1807.5609999999999</v>
      </c>
      <c r="I205" s="534">
        <f t="shared" si="8"/>
        <v>1807.5609999999999</v>
      </c>
    </row>
    <row r="206" spans="1:9" ht="96" x14ac:dyDescent="0.2">
      <c r="A206" s="522">
        <v>200</v>
      </c>
      <c r="B206" s="537" t="s">
        <v>3307</v>
      </c>
      <c r="C206" s="517" t="s">
        <v>3588</v>
      </c>
      <c r="D206" s="519" t="s">
        <v>909</v>
      </c>
      <c r="E206" s="520" t="s">
        <v>3675</v>
      </c>
      <c r="F206" s="113" t="s">
        <v>141</v>
      </c>
      <c r="G206" s="518" t="s">
        <v>910</v>
      </c>
      <c r="H206" s="534">
        <f>(4930000)/1000*$H$3</f>
        <v>4930</v>
      </c>
      <c r="I206" s="534">
        <f t="shared" si="8"/>
        <v>4930</v>
      </c>
    </row>
    <row r="207" spans="1:9" ht="48" x14ac:dyDescent="0.2">
      <c r="A207" s="522">
        <v>201</v>
      </c>
      <c r="B207" s="539" t="s">
        <v>3676</v>
      </c>
      <c r="C207" s="520" t="s">
        <v>3677</v>
      </c>
      <c r="D207" s="519" t="s">
        <v>641</v>
      </c>
      <c r="E207" s="520" t="s">
        <v>1470</v>
      </c>
      <c r="F207" s="113" t="s">
        <v>141</v>
      </c>
      <c r="G207" s="113" t="s">
        <v>638</v>
      </c>
      <c r="H207" s="534">
        <f>(1240980)/1000*$H$3</f>
        <v>1240.98</v>
      </c>
      <c r="I207" s="534">
        <f t="shared" si="8"/>
        <v>1240.98</v>
      </c>
    </row>
    <row r="208" spans="1:9" ht="96" x14ac:dyDescent="0.2">
      <c r="A208" s="522">
        <v>202</v>
      </c>
      <c r="B208" s="537" t="s">
        <v>3435</v>
      </c>
      <c r="C208" s="520" t="s">
        <v>3678</v>
      </c>
      <c r="D208" s="519" t="s">
        <v>829</v>
      </c>
      <c r="E208" s="520" t="s">
        <v>827</v>
      </c>
      <c r="F208" s="113" t="s">
        <v>62</v>
      </c>
      <c r="G208" s="113" t="s">
        <v>62</v>
      </c>
      <c r="H208" s="534">
        <f>(730000)/1000*$H$3</f>
        <v>730</v>
      </c>
      <c r="I208" s="534">
        <f t="shared" si="8"/>
        <v>730</v>
      </c>
    </row>
    <row r="209" spans="1:9" ht="60" x14ac:dyDescent="0.2">
      <c r="A209" s="522">
        <v>203</v>
      </c>
      <c r="B209" s="537" t="s">
        <v>3302</v>
      </c>
      <c r="C209" s="520" t="s">
        <v>3643</v>
      </c>
      <c r="D209" s="519" t="s">
        <v>1962</v>
      </c>
      <c r="E209" s="521" t="s">
        <v>1111</v>
      </c>
      <c r="F209" s="113" t="s">
        <v>62</v>
      </c>
      <c r="G209" s="113" t="s">
        <v>16</v>
      </c>
      <c r="H209" s="534">
        <f>(2545771)/1000*$H$3</f>
        <v>2545.7710000000002</v>
      </c>
      <c r="I209" s="534">
        <f t="shared" si="8"/>
        <v>2545.7710000000002</v>
      </c>
    </row>
    <row r="210" spans="1:9" ht="96" x14ac:dyDescent="0.2">
      <c r="A210" s="522">
        <v>204</v>
      </c>
      <c r="B210" s="537" t="s">
        <v>3435</v>
      </c>
      <c r="C210" s="520" t="s">
        <v>3679</v>
      </c>
      <c r="D210" s="519" t="s">
        <v>831</v>
      </c>
      <c r="E210" s="521" t="s">
        <v>3680</v>
      </c>
      <c r="F210" s="113" t="s">
        <v>16</v>
      </c>
      <c r="G210" s="113" t="s">
        <v>63</v>
      </c>
      <c r="H210" s="534">
        <f>(170917+20177971)/1000*$H$3</f>
        <v>20348.887999999999</v>
      </c>
      <c r="I210" s="534">
        <f>H210-(2286003+6277093)/1000*$H$3</f>
        <v>11785.791999999999</v>
      </c>
    </row>
    <row r="211" spans="1:9" ht="156" x14ac:dyDescent="0.2">
      <c r="A211" s="522">
        <v>205</v>
      </c>
      <c r="B211" s="537" t="s">
        <v>3435</v>
      </c>
      <c r="C211" s="520" t="s">
        <v>3681</v>
      </c>
      <c r="D211" s="519" t="s">
        <v>877</v>
      </c>
      <c r="E211" s="520" t="s">
        <v>1493</v>
      </c>
      <c r="F211" s="113" t="s">
        <v>16</v>
      </c>
      <c r="G211" s="113" t="s">
        <v>107</v>
      </c>
      <c r="H211" s="534">
        <f>(1831211)/1000*$H$3</f>
        <v>1831.211</v>
      </c>
      <c r="I211" s="534">
        <f>H211-(0)/1000*$H$3</f>
        <v>1831.211</v>
      </c>
    </row>
    <row r="212" spans="1:9" ht="96" x14ac:dyDescent="0.2">
      <c r="A212" s="522">
        <v>206</v>
      </c>
      <c r="B212" s="537" t="s">
        <v>3418</v>
      </c>
      <c r="C212" s="520" t="s">
        <v>3682</v>
      </c>
      <c r="D212" s="519" t="s">
        <v>971</v>
      </c>
      <c r="E212" s="521" t="s">
        <v>1149</v>
      </c>
      <c r="F212" s="113" t="s">
        <v>16</v>
      </c>
      <c r="G212" s="113" t="s">
        <v>11</v>
      </c>
      <c r="H212" s="534">
        <f>(333000)/1000*$H$3</f>
        <v>333</v>
      </c>
      <c r="I212" s="534">
        <f>H212-(0)/1000*$H$3</f>
        <v>333</v>
      </c>
    </row>
    <row r="213" spans="1:9" ht="96" x14ac:dyDescent="0.2">
      <c r="A213" s="522">
        <v>207</v>
      </c>
      <c r="B213" s="537" t="s">
        <v>3633</v>
      </c>
      <c r="C213" s="520" t="s">
        <v>3617</v>
      </c>
      <c r="D213" s="519" t="s">
        <v>977</v>
      </c>
      <c r="E213" s="521" t="s">
        <v>3683</v>
      </c>
      <c r="F213" s="113" t="s">
        <v>16</v>
      </c>
      <c r="G213" s="113" t="s">
        <v>107</v>
      </c>
      <c r="H213" s="534">
        <f>(299973)/1000*$H$3</f>
        <v>299.97300000000001</v>
      </c>
      <c r="I213" s="534">
        <f>H213-(0)/1000*$H$3</f>
        <v>299.97300000000001</v>
      </c>
    </row>
    <row r="214" spans="1:9" ht="132" x14ac:dyDescent="0.2">
      <c r="A214" s="522">
        <v>208</v>
      </c>
      <c r="B214" s="537" t="s">
        <v>3684</v>
      </c>
      <c r="C214" s="520" t="s">
        <v>3685</v>
      </c>
      <c r="D214" s="519" t="s">
        <v>387</v>
      </c>
      <c r="E214" s="520" t="s">
        <v>1235</v>
      </c>
      <c r="F214" s="113" t="s">
        <v>16</v>
      </c>
      <c r="G214" s="113" t="s">
        <v>15</v>
      </c>
      <c r="H214" s="534">
        <f>(5970000)/1000*$H$3</f>
        <v>5970</v>
      </c>
      <c r="I214" s="534">
        <f>H214-(404688+1840498+475320+23715)/1000*$H$3</f>
        <v>3225.779</v>
      </c>
    </row>
    <row r="215" spans="1:9" ht="180" x14ac:dyDescent="0.2">
      <c r="A215" s="522">
        <v>209</v>
      </c>
      <c r="B215" s="537" t="s">
        <v>3686</v>
      </c>
      <c r="C215" s="520" t="s">
        <v>3687</v>
      </c>
      <c r="D215" s="519" t="s">
        <v>2074</v>
      </c>
      <c r="E215" s="520" t="s">
        <v>3688</v>
      </c>
      <c r="F215" s="113" t="s">
        <v>16</v>
      </c>
      <c r="G215" s="113" t="s">
        <v>63</v>
      </c>
      <c r="H215" s="534">
        <f>(11400000)/1000*$H$3</f>
        <v>11400</v>
      </c>
      <c r="I215" s="534">
        <f>H215-(0)/1000*$H$3</f>
        <v>11400</v>
      </c>
    </row>
    <row r="216" spans="1:9" ht="96" x14ac:dyDescent="0.2">
      <c r="A216" s="522">
        <v>210</v>
      </c>
      <c r="B216" s="537" t="s">
        <v>3418</v>
      </c>
      <c r="C216" s="520" t="s">
        <v>3682</v>
      </c>
      <c r="D216" s="519" t="s">
        <v>1153</v>
      </c>
      <c r="E216" s="520" t="s">
        <v>284</v>
      </c>
      <c r="F216" s="113" t="s">
        <v>107</v>
      </c>
      <c r="G216" s="113" t="s">
        <v>11</v>
      </c>
      <c r="H216" s="534">
        <f>(1356000)/1000*$H$3</f>
        <v>1356</v>
      </c>
      <c r="I216" s="534">
        <f>H216-(0)/1000*$H$3</f>
        <v>1356</v>
      </c>
    </row>
    <row r="217" spans="1:9" ht="240" x14ac:dyDescent="0.2">
      <c r="A217" s="522">
        <v>211</v>
      </c>
      <c r="B217" s="537" t="s">
        <v>3689</v>
      </c>
      <c r="C217" s="520" t="s">
        <v>3690</v>
      </c>
      <c r="D217" s="519" t="s">
        <v>644</v>
      </c>
      <c r="E217" s="520" t="s">
        <v>3691</v>
      </c>
      <c r="F217" s="113" t="s">
        <v>107</v>
      </c>
      <c r="G217" s="113" t="s">
        <v>63</v>
      </c>
      <c r="H217" s="534">
        <f>(21476783)/1000*$H$3</f>
        <v>21476.782999999999</v>
      </c>
      <c r="I217" s="534">
        <f>H217-(0)/1000*$H$3</f>
        <v>21476.782999999999</v>
      </c>
    </row>
    <row r="218" spans="1:9" ht="108" x14ac:dyDescent="0.2">
      <c r="A218" s="522">
        <v>212</v>
      </c>
      <c r="B218" s="537" t="s">
        <v>3337</v>
      </c>
      <c r="C218" s="520" t="s">
        <v>3692</v>
      </c>
      <c r="D218" s="519" t="s">
        <v>532</v>
      </c>
      <c r="E218" s="520" t="s">
        <v>1430</v>
      </c>
      <c r="F218" s="113" t="s">
        <v>107</v>
      </c>
      <c r="G218" s="518" t="s">
        <v>531</v>
      </c>
      <c r="H218" s="534">
        <f>(3056511)/1000*$H$3</f>
        <v>3056.511</v>
      </c>
      <c r="I218" s="534">
        <f>H218-(0)/1000*$H$3</f>
        <v>3056.511</v>
      </c>
    </row>
    <row r="219" spans="1:9" ht="84" x14ac:dyDescent="0.2">
      <c r="A219" s="522">
        <v>213</v>
      </c>
      <c r="B219" s="537" t="s">
        <v>3337</v>
      </c>
      <c r="C219" s="520" t="s">
        <v>3693</v>
      </c>
      <c r="D219" s="519" t="s">
        <v>533</v>
      </c>
      <c r="E219" s="520" t="s">
        <v>1432</v>
      </c>
      <c r="F219" s="113" t="s">
        <v>107</v>
      </c>
      <c r="G219" s="518" t="s">
        <v>17</v>
      </c>
      <c r="H219" s="534">
        <f>(1909267+4614410)/1000*$H$3</f>
        <v>6523.6769999999997</v>
      </c>
      <c r="I219" s="534">
        <f>H219-(0)/1000*$H$3</f>
        <v>6523.6769999999997</v>
      </c>
    </row>
    <row r="220" spans="1:9" ht="84" x14ac:dyDescent="0.2">
      <c r="A220" s="522">
        <v>214</v>
      </c>
      <c r="B220" s="537" t="s">
        <v>3694</v>
      </c>
      <c r="C220" s="520" t="s">
        <v>3695</v>
      </c>
      <c r="D220" s="519" t="s">
        <v>1010</v>
      </c>
      <c r="E220" s="520" t="s">
        <v>3696</v>
      </c>
      <c r="F220" s="113" t="s">
        <v>11</v>
      </c>
      <c r="G220" s="113" t="s">
        <v>1591</v>
      </c>
      <c r="H220" s="534">
        <f>(142758713)/1000*$H$3</f>
        <v>142758.71299999999</v>
      </c>
      <c r="I220" s="534">
        <f>H220-(3974529+2178400+550000+3601754+7356265+501298)/1000*$H$3</f>
        <v>124596.46699999999</v>
      </c>
    </row>
    <row r="221" spans="1:9" ht="72" x14ac:dyDescent="0.2">
      <c r="A221" s="522">
        <v>215</v>
      </c>
      <c r="B221" s="537" t="s">
        <v>3337</v>
      </c>
      <c r="C221" s="520" t="s">
        <v>3693</v>
      </c>
      <c r="D221" s="519" t="s">
        <v>1747</v>
      </c>
      <c r="E221" s="520" t="s">
        <v>2965</v>
      </c>
      <c r="F221" s="113" t="s">
        <v>11</v>
      </c>
      <c r="G221" s="518" t="s">
        <v>1606</v>
      </c>
      <c r="H221" s="534">
        <f>(368148/1000*$H$3)</f>
        <v>368.14800000000002</v>
      </c>
      <c r="I221" s="534">
        <f>H221-(0)/1000*$H$3</f>
        <v>368.14800000000002</v>
      </c>
    </row>
    <row r="222" spans="1:9" ht="72" x14ac:dyDescent="0.2">
      <c r="A222" s="522">
        <v>216</v>
      </c>
      <c r="B222" s="537" t="s">
        <v>3337</v>
      </c>
      <c r="C222" s="520" t="s">
        <v>3693</v>
      </c>
      <c r="D222" s="519" t="s">
        <v>1749</v>
      </c>
      <c r="E222" s="520" t="s">
        <v>1751</v>
      </c>
      <c r="F222" s="113" t="s">
        <v>11</v>
      </c>
      <c r="G222" s="518" t="s">
        <v>531</v>
      </c>
      <c r="H222" s="534">
        <f>(411295)/1000*$H$3</f>
        <v>411.29500000000002</v>
      </c>
      <c r="I222" s="534">
        <f>H222-(401012)/1000*$H$3</f>
        <v>10.283000000000015</v>
      </c>
    </row>
    <row r="223" spans="1:9" ht="132" x14ac:dyDescent="0.2">
      <c r="A223" s="522">
        <v>217</v>
      </c>
      <c r="B223" s="537" t="s">
        <v>3697</v>
      </c>
      <c r="C223" s="520" t="s">
        <v>3698</v>
      </c>
      <c r="D223" s="519" t="s">
        <v>1605</v>
      </c>
      <c r="E223" s="520" t="s">
        <v>3699</v>
      </c>
      <c r="F223" s="113" t="s">
        <v>1606</v>
      </c>
      <c r="G223" s="113" t="s">
        <v>63</v>
      </c>
      <c r="H223" s="534">
        <f>(2310000)/1000*$H$3</f>
        <v>2310</v>
      </c>
      <c r="I223" s="534">
        <f>H223-(0)/1000*$H$3</f>
        <v>2310</v>
      </c>
    </row>
    <row r="224" spans="1:9" ht="72" x14ac:dyDescent="0.2">
      <c r="A224" s="522">
        <v>218</v>
      </c>
      <c r="B224" s="537" t="s">
        <v>3337</v>
      </c>
      <c r="C224" s="520" t="s">
        <v>3700</v>
      </c>
      <c r="D224" s="519" t="s">
        <v>1744</v>
      </c>
      <c r="E224" s="520" t="s">
        <v>1746</v>
      </c>
      <c r="F224" s="113" t="s">
        <v>1606</v>
      </c>
      <c r="G224" s="518" t="s">
        <v>1559</v>
      </c>
      <c r="H224" s="534">
        <f>(1000000)/1000*$H$3</f>
        <v>1000</v>
      </c>
      <c r="I224" s="534">
        <f>H224-(0)/1000*$H$3</f>
        <v>1000</v>
      </c>
    </row>
    <row r="225" spans="1:9" ht="72" x14ac:dyDescent="0.2">
      <c r="A225" s="522">
        <v>219</v>
      </c>
      <c r="B225" s="537" t="s">
        <v>3337</v>
      </c>
      <c r="C225" s="520" t="s">
        <v>3701</v>
      </c>
      <c r="D225" s="519" t="s">
        <v>1748</v>
      </c>
      <c r="E225" s="520" t="s">
        <v>1750</v>
      </c>
      <c r="F225" s="113" t="s">
        <v>1606</v>
      </c>
      <c r="G225" s="518" t="s">
        <v>21</v>
      </c>
      <c r="H225" s="534">
        <f>(333104)/1000*$H$3</f>
        <v>333.10399999999998</v>
      </c>
      <c r="I225" s="534">
        <f>H225-(0)/1000*$H$3</f>
        <v>333.10399999999998</v>
      </c>
    </row>
    <row r="226" spans="1:9" ht="96" x14ac:dyDescent="0.2">
      <c r="A226" s="522">
        <v>220</v>
      </c>
      <c r="B226" s="537" t="s">
        <v>3435</v>
      </c>
      <c r="C226" s="520" t="s">
        <v>3702</v>
      </c>
      <c r="D226" s="519" t="s">
        <v>1483</v>
      </c>
      <c r="E226" s="521" t="s">
        <v>1481</v>
      </c>
      <c r="F226" s="113" t="s">
        <v>21</v>
      </c>
      <c r="G226" s="113" t="s">
        <v>20</v>
      </c>
      <c r="H226" s="534">
        <f>(15876906)/1000*$H$3</f>
        <v>15876.906000000001</v>
      </c>
      <c r="I226" s="534">
        <f>H226-(1089110+457627+67533+605566+45149)/1000*$H$3</f>
        <v>13611.921</v>
      </c>
    </row>
    <row r="227" spans="1:9" ht="156" x14ac:dyDescent="0.2">
      <c r="A227" s="522">
        <v>221</v>
      </c>
      <c r="B227" s="537" t="s">
        <v>3435</v>
      </c>
      <c r="C227" s="520" t="s">
        <v>3703</v>
      </c>
      <c r="D227" s="519" t="s">
        <v>2130</v>
      </c>
      <c r="E227" s="520" t="s">
        <v>3704</v>
      </c>
      <c r="F227" s="113" t="s">
        <v>21</v>
      </c>
      <c r="G227" s="113" t="s">
        <v>1559</v>
      </c>
      <c r="H227" s="534">
        <f>(4100000)/1000*$H$3</f>
        <v>4100</v>
      </c>
      <c r="I227" s="534">
        <f>H227</f>
        <v>4100</v>
      </c>
    </row>
    <row r="228" spans="1:9" ht="60" x14ac:dyDescent="0.2">
      <c r="A228" s="522">
        <v>222</v>
      </c>
      <c r="B228" s="537" t="s">
        <v>3302</v>
      </c>
      <c r="C228" s="520" t="s">
        <v>3643</v>
      </c>
      <c r="D228" s="519" t="s">
        <v>1963</v>
      </c>
      <c r="E228" s="521" t="s">
        <v>1965</v>
      </c>
      <c r="F228" s="113" t="s">
        <v>21</v>
      </c>
      <c r="G228" s="113" t="s">
        <v>21</v>
      </c>
      <c r="H228" s="534">
        <f>(746070)/1000*$H$3</f>
        <v>746.07</v>
      </c>
      <c r="I228" s="534">
        <f>H228-(0)/1000*$H$3</f>
        <v>746.07</v>
      </c>
    </row>
    <row r="229" spans="1:9" ht="96" x14ac:dyDescent="0.2">
      <c r="A229" s="522">
        <v>223</v>
      </c>
      <c r="B229" s="537" t="s">
        <v>3325</v>
      </c>
      <c r="C229" s="520" t="s">
        <v>3682</v>
      </c>
      <c r="D229" s="519" t="s">
        <v>1544</v>
      </c>
      <c r="E229" s="521" t="s">
        <v>1542</v>
      </c>
      <c r="F229" s="113" t="s">
        <v>21</v>
      </c>
      <c r="G229" s="113" t="s">
        <v>63</v>
      </c>
      <c r="H229" s="534">
        <f>(1300000)/1000*$H$3</f>
        <v>1300</v>
      </c>
      <c r="I229" s="534">
        <f>H229-(0)/1000*$H$3</f>
        <v>1300</v>
      </c>
    </row>
    <row r="230" spans="1:9" ht="96" x14ac:dyDescent="0.2">
      <c r="A230" s="522">
        <v>224</v>
      </c>
      <c r="B230" s="537" t="s">
        <v>3325</v>
      </c>
      <c r="C230" s="520" t="s">
        <v>3682</v>
      </c>
      <c r="D230" s="519" t="s">
        <v>1547</v>
      </c>
      <c r="E230" s="521" t="s">
        <v>1545</v>
      </c>
      <c r="F230" s="113" t="s">
        <v>21</v>
      </c>
      <c r="G230" s="113" t="s">
        <v>598</v>
      </c>
      <c r="H230" s="534">
        <f>(1708991)/1000*$H$3</f>
        <v>1708.991</v>
      </c>
      <c r="I230" s="534">
        <f>H230-(0)/1000*$H$3</f>
        <v>1708.991</v>
      </c>
    </row>
    <row r="231" spans="1:9" ht="120" x14ac:dyDescent="0.2">
      <c r="A231" s="522">
        <v>225</v>
      </c>
      <c r="B231" s="539" t="s">
        <v>3705</v>
      </c>
      <c r="C231" s="520" t="s">
        <v>3472</v>
      </c>
      <c r="D231" s="519" t="s">
        <v>1662</v>
      </c>
      <c r="E231" s="520" t="s">
        <v>3706</v>
      </c>
      <c r="F231" s="113" t="s">
        <v>21</v>
      </c>
      <c r="G231" s="113" t="s">
        <v>18</v>
      </c>
      <c r="H231" s="534">
        <f>(7484770)/1000*$H$3</f>
        <v>7484.77</v>
      </c>
      <c r="I231" s="534">
        <f>H231-(2554000+832640)/1000*$H$3</f>
        <v>4098.130000000001</v>
      </c>
    </row>
    <row r="232" spans="1:9" ht="60" x14ac:dyDescent="0.2">
      <c r="A232" s="522">
        <v>226</v>
      </c>
      <c r="B232" s="539" t="s">
        <v>4127</v>
      </c>
      <c r="C232" s="659" t="s">
        <v>4126</v>
      </c>
      <c r="D232" s="519" t="s">
        <v>2243</v>
      </c>
      <c r="E232" s="520"/>
      <c r="F232" s="113"/>
      <c r="G232" s="113"/>
      <c r="H232" s="534"/>
      <c r="I232" s="534"/>
    </row>
    <row r="233" spans="1:9" ht="36" x14ac:dyDescent="0.2">
      <c r="A233" s="522" t="s">
        <v>4154</v>
      </c>
      <c r="B233" s="537" t="s">
        <v>4146</v>
      </c>
      <c r="C233" s="660"/>
      <c r="D233" s="519"/>
      <c r="E233" s="520" t="s">
        <v>2250</v>
      </c>
      <c r="F233" s="113" t="s">
        <v>21</v>
      </c>
      <c r="G233" s="113" t="s">
        <v>1526</v>
      </c>
      <c r="H233" s="534">
        <f>(12567770)/1000*$H$3</f>
        <v>12567.77</v>
      </c>
      <c r="I233" s="534">
        <f>H233-(11977097/1000*$H$3)</f>
        <v>590.67300000000068</v>
      </c>
    </row>
    <row r="234" spans="1:9" ht="36" x14ac:dyDescent="0.2">
      <c r="A234" s="522" t="s">
        <v>4155</v>
      </c>
      <c r="B234" s="537" t="s">
        <v>4130</v>
      </c>
      <c r="C234" s="660"/>
      <c r="D234" s="519"/>
      <c r="E234" s="520" t="s">
        <v>2254</v>
      </c>
      <c r="F234" s="113" t="s">
        <v>21</v>
      </c>
      <c r="G234" s="113" t="s">
        <v>598</v>
      </c>
      <c r="H234" s="534">
        <f>(12687566)/1000*$H$3</f>
        <v>12687.566000000001</v>
      </c>
      <c r="I234" s="534">
        <f>H234-(12068660/1000*$H$3)</f>
        <v>618.90600000000086</v>
      </c>
    </row>
    <row r="235" spans="1:9" ht="48" x14ac:dyDescent="0.2">
      <c r="A235" s="522" t="s">
        <v>4156</v>
      </c>
      <c r="B235" s="537" t="s">
        <v>4131</v>
      </c>
      <c r="C235" s="660"/>
      <c r="D235" s="519"/>
      <c r="E235" s="520" t="s">
        <v>2248</v>
      </c>
      <c r="F235" s="113" t="s">
        <v>531</v>
      </c>
      <c r="G235" s="113" t="s">
        <v>2245</v>
      </c>
      <c r="H235" s="534">
        <f>(82845259)/1000*$H$3</f>
        <v>82845.259000000005</v>
      </c>
      <c r="I235" s="534">
        <f>H235-(79465331/1000*$H$3)</f>
        <v>3379.9279999999999</v>
      </c>
    </row>
    <row r="236" spans="1:9" s="513" customFormat="1" ht="48" x14ac:dyDescent="0.2">
      <c r="A236" s="522" t="s">
        <v>4157</v>
      </c>
      <c r="B236" s="537" t="s">
        <v>4132</v>
      </c>
      <c r="C236" s="660"/>
      <c r="D236" s="519"/>
      <c r="E236" s="520" t="s">
        <v>2252</v>
      </c>
      <c r="F236" s="113" t="s">
        <v>531</v>
      </c>
      <c r="G236" s="518" t="s">
        <v>3271</v>
      </c>
      <c r="H236" s="534">
        <f>(73407495)/1000*$H$3</f>
        <v>73407.494999999995</v>
      </c>
      <c r="I236" s="534">
        <f>H236-((1481855+400517+1258081+663878+69644+1997794+794636+1991119+385000)/1000*$H$3)</f>
        <v>64364.970999999998</v>
      </c>
    </row>
    <row r="237" spans="1:9" ht="48" x14ac:dyDescent="0.2">
      <c r="A237" s="522" t="s">
        <v>4158</v>
      </c>
      <c r="B237" s="537" t="s">
        <v>4133</v>
      </c>
      <c r="C237" s="660"/>
      <c r="D237" s="519"/>
      <c r="E237" s="520" t="s">
        <v>2256</v>
      </c>
      <c r="F237" s="113" t="s">
        <v>18</v>
      </c>
      <c r="G237" s="518" t="s">
        <v>3025</v>
      </c>
      <c r="H237" s="534">
        <f>(70971920)/1000*$H$3</f>
        <v>70971.92</v>
      </c>
      <c r="I237" s="534">
        <f>H237-((62140610)/1000*$H$3)</f>
        <v>8831.3099999999977</v>
      </c>
    </row>
    <row r="238" spans="1:9" ht="36" x14ac:dyDescent="0.2">
      <c r="A238" s="522" t="s">
        <v>4159</v>
      </c>
      <c r="B238" s="537" t="s">
        <v>4134</v>
      </c>
      <c r="C238" s="660"/>
      <c r="D238" s="519"/>
      <c r="E238" s="520" t="s">
        <v>2258</v>
      </c>
      <c r="F238" s="113" t="s">
        <v>20</v>
      </c>
      <c r="G238" s="113" t="s">
        <v>1643</v>
      </c>
      <c r="H238" s="534">
        <f>(46662642)/1000*$H$3</f>
        <v>46662.642</v>
      </c>
      <c r="I238" s="534">
        <f>H238-((33904315+3048264)/1000*$H$3)</f>
        <v>9710.0630000000019</v>
      </c>
    </row>
    <row r="239" spans="1:9" ht="36" x14ac:dyDescent="0.2">
      <c r="A239" s="522" t="s">
        <v>4160</v>
      </c>
      <c r="B239" s="537" t="s">
        <v>4135</v>
      </c>
      <c r="C239" s="660"/>
      <c r="D239" s="519"/>
      <c r="E239" s="520" t="s">
        <v>2260</v>
      </c>
      <c r="F239" s="113" t="s">
        <v>20</v>
      </c>
      <c r="G239" s="113" t="s">
        <v>598</v>
      </c>
      <c r="H239" s="534">
        <f>(7379055)/1000*$H$3</f>
        <v>7379.0550000000003</v>
      </c>
      <c r="I239" s="534">
        <f>H239-(6920126/1000*$H$3)</f>
        <v>458.92900000000009</v>
      </c>
    </row>
    <row r="240" spans="1:9" ht="41.25" customHeight="1" x14ac:dyDescent="0.2">
      <c r="A240" s="522" t="s">
        <v>4161</v>
      </c>
      <c r="B240" s="537" t="s">
        <v>4138</v>
      </c>
      <c r="C240" s="660"/>
      <c r="D240" s="519"/>
      <c r="E240" s="520" t="s">
        <v>2264</v>
      </c>
      <c r="F240" s="113" t="s">
        <v>1554</v>
      </c>
      <c r="G240" s="518" t="s">
        <v>3271</v>
      </c>
      <c r="H240" s="534">
        <f>(67053300)/1000*$H$3</f>
        <v>67053.3</v>
      </c>
      <c r="I240" s="534">
        <f>H240-((24308074+4511530+20398534)/1000*$H$3)</f>
        <v>17835.162000000004</v>
      </c>
    </row>
    <row r="241" spans="1:9" ht="48" x14ac:dyDescent="0.2">
      <c r="A241" s="522" t="s">
        <v>4162</v>
      </c>
      <c r="B241" s="537" t="s">
        <v>4136</v>
      </c>
      <c r="C241" s="660"/>
      <c r="D241" s="519"/>
      <c r="E241" s="520" t="s">
        <v>2262</v>
      </c>
      <c r="F241" s="113" t="s">
        <v>613</v>
      </c>
      <c r="G241" s="113" t="s">
        <v>1575</v>
      </c>
      <c r="H241" s="534">
        <f>(42507919)/1000*$H$3</f>
        <v>42507.919000000002</v>
      </c>
      <c r="I241" s="534">
        <f>H241-(39915973/1000*$H$3)</f>
        <v>2591.9460000000036</v>
      </c>
    </row>
    <row r="242" spans="1:9" ht="36" x14ac:dyDescent="0.2">
      <c r="A242" s="522" t="s">
        <v>4163</v>
      </c>
      <c r="B242" s="537" t="s">
        <v>4137</v>
      </c>
      <c r="C242" s="660"/>
      <c r="D242" s="519"/>
      <c r="E242" s="520" t="s">
        <v>2267</v>
      </c>
      <c r="F242" s="113" t="s">
        <v>872</v>
      </c>
      <c r="G242" s="518" t="s">
        <v>3276</v>
      </c>
      <c r="H242" s="534">
        <f>(83111780)/1000*$H$3</f>
        <v>83111.78</v>
      </c>
      <c r="I242" s="534">
        <f>H242-((1807606+2480815+149930+4082577+1042855+15809)/1000*$H$3)</f>
        <v>73532.187999999995</v>
      </c>
    </row>
    <row r="243" spans="1:9" ht="48" x14ac:dyDescent="0.2">
      <c r="A243" s="522" t="s">
        <v>4164</v>
      </c>
      <c r="B243" s="537" t="s">
        <v>4172</v>
      </c>
      <c r="C243" s="660"/>
      <c r="D243" s="519"/>
      <c r="E243" s="520" t="s">
        <v>2268</v>
      </c>
      <c r="F243" s="113" t="s">
        <v>1737</v>
      </c>
      <c r="G243" s="113" t="s">
        <v>1527</v>
      </c>
      <c r="H243" s="534">
        <f>(7986984)/1000*$H$3</f>
        <v>7986.9840000000004</v>
      </c>
      <c r="I243" s="534">
        <f>H243-(7694777/1000*$H$3)</f>
        <v>292.20700000000033</v>
      </c>
    </row>
    <row r="244" spans="1:9" ht="48" x14ac:dyDescent="0.2">
      <c r="A244" s="522" t="s">
        <v>4165</v>
      </c>
      <c r="B244" s="537" t="s">
        <v>4173</v>
      </c>
      <c r="C244" s="660"/>
      <c r="D244" s="519"/>
      <c r="E244" s="520" t="s">
        <v>2270</v>
      </c>
      <c r="F244" s="113" t="s">
        <v>1737</v>
      </c>
      <c r="G244" s="113" t="s">
        <v>1527</v>
      </c>
      <c r="H244" s="534">
        <f>(7149953)/1000*$H$3</f>
        <v>7149.9530000000004</v>
      </c>
      <c r="I244" s="534">
        <f>H244-(6888368/1000*$H$3)</f>
        <v>261.58500000000004</v>
      </c>
    </row>
    <row r="245" spans="1:9" ht="48" x14ac:dyDescent="0.2">
      <c r="A245" s="522" t="s">
        <v>4166</v>
      </c>
      <c r="B245" s="537" t="s">
        <v>4139</v>
      </c>
      <c r="C245" s="660"/>
      <c r="D245" s="519"/>
      <c r="E245" s="520" t="s">
        <v>2272</v>
      </c>
      <c r="F245" s="113" t="s">
        <v>1737</v>
      </c>
      <c r="G245" s="518" t="s">
        <v>3279</v>
      </c>
      <c r="H245" s="534">
        <f>(64266653)/1000*$H$3</f>
        <v>64266.652999999998</v>
      </c>
      <c r="I245" s="534">
        <f>H245-((1154426+2172443)/1000*$H$3)</f>
        <v>60939.784</v>
      </c>
    </row>
    <row r="246" spans="1:9" ht="48" x14ac:dyDescent="0.2">
      <c r="A246" s="522" t="s">
        <v>4167</v>
      </c>
      <c r="B246" s="537" t="s">
        <v>4140</v>
      </c>
      <c r="C246" s="660"/>
      <c r="D246" s="519"/>
      <c r="E246" s="520" t="s">
        <v>2274</v>
      </c>
      <c r="F246" s="113" t="s">
        <v>1737</v>
      </c>
      <c r="G246" s="518" t="s">
        <v>3279</v>
      </c>
      <c r="H246" s="534">
        <f>(48291863)/1000*$H$3</f>
        <v>48291.862999999998</v>
      </c>
      <c r="I246" s="534">
        <f>H246-((1128093+1382582+573017)/1000*$H$3)</f>
        <v>45208.170999999995</v>
      </c>
    </row>
    <row r="247" spans="1:9" ht="48" x14ac:dyDescent="0.2">
      <c r="A247" s="522" t="s">
        <v>4168</v>
      </c>
      <c r="B247" s="537" t="s">
        <v>4143</v>
      </c>
      <c r="C247" s="660"/>
      <c r="D247" s="519"/>
      <c r="E247" s="520" t="s">
        <v>2276</v>
      </c>
      <c r="F247" s="113" t="s">
        <v>1737</v>
      </c>
      <c r="G247" s="518" t="s">
        <v>3237</v>
      </c>
      <c r="H247" s="534">
        <f>(129431)/1000*$H$3</f>
        <v>129.43100000000001</v>
      </c>
      <c r="I247" s="534">
        <f>H247-(0/1000*$H$3)</f>
        <v>129.43100000000001</v>
      </c>
    </row>
    <row r="248" spans="1:9" ht="36" x14ac:dyDescent="0.2">
      <c r="A248" s="522" t="s">
        <v>4169</v>
      </c>
      <c r="B248" s="537" t="s">
        <v>4141</v>
      </c>
      <c r="C248" s="660"/>
      <c r="D248" s="519"/>
      <c r="E248" s="520" t="s">
        <v>3239</v>
      </c>
      <c r="F248" s="113" t="s">
        <v>1944</v>
      </c>
      <c r="G248" s="518" t="s">
        <v>3282</v>
      </c>
      <c r="H248" s="534">
        <f>21339133*$I$3/1000</f>
        <v>21339.133000000002</v>
      </c>
      <c r="I248" s="534">
        <f>H248-(4634565/1000*$I$3)</f>
        <v>16704.568000000003</v>
      </c>
    </row>
    <row r="249" spans="1:9" ht="48" x14ac:dyDescent="0.2">
      <c r="A249" s="522" t="s">
        <v>4170</v>
      </c>
      <c r="B249" s="537" t="s">
        <v>4142</v>
      </c>
      <c r="C249" s="661"/>
      <c r="D249" s="519"/>
      <c r="E249" s="520" t="s">
        <v>3238</v>
      </c>
      <c r="F249" s="113" t="s">
        <v>3086</v>
      </c>
      <c r="G249" s="518" t="s">
        <v>3279</v>
      </c>
      <c r="H249" s="534">
        <f>(43838113)/1000*$H$3</f>
        <v>43838.112999999998</v>
      </c>
      <c r="I249" s="534">
        <f>H249-(1072109/1000*$H$3)</f>
        <v>42766.004000000001</v>
      </c>
    </row>
    <row r="250" spans="1:9" ht="108" x14ac:dyDescent="0.2">
      <c r="A250" s="522">
        <v>227</v>
      </c>
      <c r="B250" s="537" t="s">
        <v>4147</v>
      </c>
      <c r="C250" s="520" t="s">
        <v>4153</v>
      </c>
      <c r="D250" s="519" t="s">
        <v>2353</v>
      </c>
      <c r="E250" s="520" t="s">
        <v>2350</v>
      </c>
      <c r="F250" s="113" t="s">
        <v>872</v>
      </c>
      <c r="G250" s="113" t="s">
        <v>1586</v>
      </c>
      <c r="H250" s="534">
        <f>(1801066)/1000*$H$3</f>
        <v>1801.066</v>
      </c>
      <c r="I250" s="534">
        <v>1801</v>
      </c>
    </row>
    <row r="251" spans="1:9" ht="108" x14ac:dyDescent="0.2">
      <c r="A251" s="522">
        <v>228</v>
      </c>
      <c r="B251" s="537" t="s">
        <v>4144</v>
      </c>
      <c r="C251" s="520" t="s">
        <v>4152</v>
      </c>
      <c r="D251" s="519" t="s">
        <v>2342</v>
      </c>
      <c r="E251" s="520" t="s">
        <v>2347</v>
      </c>
      <c r="F251" s="113" t="s">
        <v>1586</v>
      </c>
      <c r="G251" s="113" t="s">
        <v>1520</v>
      </c>
      <c r="H251" s="534">
        <f>(2378550.72)/1000*$H$3</f>
        <v>2378.5507200000002</v>
      </c>
      <c r="I251" s="534">
        <f>H251-(1019575/1000*$H$3)</f>
        <v>1358.9757200000001</v>
      </c>
    </row>
    <row r="252" spans="1:9" ht="156" x14ac:dyDescent="0.2">
      <c r="A252" s="522">
        <v>229</v>
      </c>
      <c r="B252" s="537" t="s">
        <v>4145</v>
      </c>
      <c r="C252" s="520" t="s">
        <v>4151</v>
      </c>
      <c r="D252" s="519" t="s">
        <v>2346</v>
      </c>
      <c r="E252" s="520" t="s">
        <v>2343</v>
      </c>
      <c r="F252" s="113" t="s">
        <v>1586</v>
      </c>
      <c r="G252" s="113" t="s">
        <v>1586</v>
      </c>
      <c r="H252" s="534">
        <f>(624370)/1000*$H$3</f>
        <v>624.37</v>
      </c>
      <c r="I252" s="534">
        <f>H252-(254894/1000*$H$3)</f>
        <v>369.476</v>
      </c>
    </row>
    <row r="253" spans="1:9" ht="132" x14ac:dyDescent="0.2">
      <c r="A253" s="522">
        <v>230</v>
      </c>
      <c r="B253" s="537" t="s">
        <v>3791</v>
      </c>
      <c r="C253" s="520" t="s">
        <v>4149</v>
      </c>
      <c r="D253" s="519" t="s">
        <v>2211</v>
      </c>
      <c r="E253" s="520" t="s">
        <v>2209</v>
      </c>
      <c r="F253" s="113" t="s">
        <v>15</v>
      </c>
      <c r="G253" s="518" t="s">
        <v>3272</v>
      </c>
      <c r="H253" s="534">
        <f>(82879640)/1000*$H$3</f>
        <v>82879.64</v>
      </c>
      <c r="I253" s="534">
        <f>H253-(15683489+585646+990259+432139+408474)/1000*$H$3</f>
        <v>64779.633000000002</v>
      </c>
    </row>
    <row r="254" spans="1:9" ht="132" x14ac:dyDescent="0.2">
      <c r="A254" s="522">
        <v>231</v>
      </c>
      <c r="B254" s="537" t="s">
        <v>4148</v>
      </c>
      <c r="C254" s="520" t="s">
        <v>4150</v>
      </c>
      <c r="D254" s="519" t="s">
        <v>2445</v>
      </c>
      <c r="E254" s="520" t="s">
        <v>2763</v>
      </c>
      <c r="F254" s="113" t="s">
        <v>1643</v>
      </c>
      <c r="G254" s="518" t="s">
        <v>4182</v>
      </c>
      <c r="H254" s="534">
        <f>(46792105)/1000*$I$3</f>
        <v>46792.105000000003</v>
      </c>
      <c r="I254" s="534">
        <f>H254-(4178163)/1000*$I$3</f>
        <v>42613.942000000003</v>
      </c>
    </row>
    <row r="255" spans="1:9" ht="156" x14ac:dyDescent="0.2">
      <c r="A255" s="522">
        <v>232</v>
      </c>
      <c r="B255" s="537" t="s">
        <v>3430</v>
      </c>
      <c r="C255" s="520" t="s">
        <v>3707</v>
      </c>
      <c r="D255" s="519" t="s">
        <v>2117</v>
      </c>
      <c r="E255" s="520" t="s">
        <v>2961</v>
      </c>
      <c r="F255" s="113" t="s">
        <v>21</v>
      </c>
      <c r="G255" s="113" t="s">
        <v>15</v>
      </c>
      <c r="H255" s="534">
        <f>(1928109)/1000*$H$3</f>
        <v>1928.1089999999999</v>
      </c>
      <c r="I255" s="534">
        <f t="shared" ref="I255:I261" si="9">H255-(0)/1000*$H$3</f>
        <v>1928.1089999999999</v>
      </c>
    </row>
    <row r="256" spans="1:9" ht="72" x14ac:dyDescent="0.2">
      <c r="A256" s="522">
        <v>233</v>
      </c>
      <c r="B256" s="537" t="s">
        <v>3337</v>
      </c>
      <c r="C256" s="520" t="s">
        <v>3708</v>
      </c>
      <c r="D256" s="519" t="s">
        <v>1755</v>
      </c>
      <c r="E256" s="520" t="s">
        <v>2967</v>
      </c>
      <c r="F256" s="113" t="s">
        <v>21</v>
      </c>
      <c r="G256" s="518" t="s">
        <v>19</v>
      </c>
      <c r="H256" s="534">
        <f>(780087)/1000*$H$3</f>
        <v>780.08699999999999</v>
      </c>
      <c r="I256" s="534">
        <f t="shared" si="9"/>
        <v>780.08699999999999</v>
      </c>
    </row>
    <row r="257" spans="1:9" ht="108" x14ac:dyDescent="0.2">
      <c r="A257" s="522">
        <v>234</v>
      </c>
      <c r="B257" s="537" t="s">
        <v>3316</v>
      </c>
      <c r="C257" s="520" t="s">
        <v>3709</v>
      </c>
      <c r="D257" s="519" t="s">
        <v>1530</v>
      </c>
      <c r="E257" s="520" t="s">
        <v>1538</v>
      </c>
      <c r="F257" s="518" t="s">
        <v>531</v>
      </c>
      <c r="G257" s="518" t="s">
        <v>17</v>
      </c>
      <c r="H257" s="534">
        <f>(3048646)/1000*$H$3</f>
        <v>3048.6460000000002</v>
      </c>
      <c r="I257" s="534">
        <f t="shared" si="9"/>
        <v>3048.6460000000002</v>
      </c>
    </row>
    <row r="258" spans="1:9" ht="60" x14ac:dyDescent="0.2">
      <c r="A258" s="522">
        <v>235</v>
      </c>
      <c r="B258" s="537" t="s">
        <v>3302</v>
      </c>
      <c r="C258" s="520" t="s">
        <v>3710</v>
      </c>
      <c r="D258" s="519" t="s">
        <v>1964</v>
      </c>
      <c r="E258" s="521" t="s">
        <v>1966</v>
      </c>
      <c r="F258" s="113" t="s">
        <v>531</v>
      </c>
      <c r="G258" s="113" t="s">
        <v>15</v>
      </c>
      <c r="H258" s="534">
        <f>(12551445)/1000*$H$3</f>
        <v>12551.445</v>
      </c>
      <c r="I258" s="534">
        <f t="shared" si="9"/>
        <v>12551.445</v>
      </c>
    </row>
    <row r="259" spans="1:9" ht="156" x14ac:dyDescent="0.2">
      <c r="A259" s="522">
        <v>236</v>
      </c>
      <c r="B259" s="537" t="s">
        <v>3435</v>
      </c>
      <c r="C259" s="520" t="s">
        <v>3711</v>
      </c>
      <c r="D259" s="519" t="s">
        <v>1490</v>
      </c>
      <c r="E259" s="520" t="s">
        <v>1494</v>
      </c>
      <c r="F259" s="113" t="s">
        <v>18</v>
      </c>
      <c r="G259" s="113" t="s">
        <v>1559</v>
      </c>
      <c r="H259" s="534">
        <f>(5133126)/1000*$H$3</f>
        <v>5133.1260000000002</v>
      </c>
      <c r="I259" s="534">
        <f t="shared" si="9"/>
        <v>5133.1260000000002</v>
      </c>
    </row>
    <row r="260" spans="1:9" ht="84" x14ac:dyDescent="0.2">
      <c r="A260" s="522">
        <v>237</v>
      </c>
      <c r="B260" s="537" t="s">
        <v>3302</v>
      </c>
      <c r="C260" s="520" t="s">
        <v>3712</v>
      </c>
      <c r="D260" s="519" t="s">
        <v>1973</v>
      </c>
      <c r="E260" s="521" t="s">
        <v>3713</v>
      </c>
      <c r="F260" s="113" t="s">
        <v>18</v>
      </c>
      <c r="G260" s="518" t="s">
        <v>1591</v>
      </c>
      <c r="H260" s="534">
        <f>(16488747.5)/1000*$H$3</f>
        <v>16488.747500000001</v>
      </c>
      <c r="I260" s="534">
        <f t="shared" si="9"/>
        <v>16488.747500000001</v>
      </c>
    </row>
    <row r="261" spans="1:9" ht="96" x14ac:dyDescent="0.2">
      <c r="A261" s="522">
        <v>238</v>
      </c>
      <c r="B261" s="537" t="s">
        <v>3714</v>
      </c>
      <c r="C261" s="520" t="s">
        <v>3682</v>
      </c>
      <c r="D261" s="519" t="s">
        <v>1550</v>
      </c>
      <c r="E261" s="521" t="s">
        <v>1549</v>
      </c>
      <c r="F261" s="113" t="s">
        <v>18</v>
      </c>
      <c r="G261" s="113" t="s">
        <v>19</v>
      </c>
      <c r="H261" s="534">
        <f>(107700)/1000*$H$3</f>
        <v>107.7</v>
      </c>
      <c r="I261" s="534">
        <f t="shared" si="9"/>
        <v>107.7</v>
      </c>
    </row>
    <row r="262" spans="1:9" ht="168" x14ac:dyDescent="0.2">
      <c r="A262" s="522">
        <v>239</v>
      </c>
      <c r="B262" s="537" t="s">
        <v>3413</v>
      </c>
      <c r="C262" s="520" t="s">
        <v>3715</v>
      </c>
      <c r="D262" s="519" t="s">
        <v>2034</v>
      </c>
      <c r="E262" s="520" t="s">
        <v>3716</v>
      </c>
      <c r="F262" s="113" t="s">
        <v>18</v>
      </c>
      <c r="G262" s="518" t="s">
        <v>1875</v>
      </c>
      <c r="H262" s="534">
        <f>(64955565.13+11510416+3259543)/1000*$H$3</f>
        <v>79725.524129999991</v>
      </c>
      <c r="I262" s="534">
        <f>H262-(16105221+1580499+719396+442019+2856631)/1000*$H$3</f>
        <v>58021.758129999987</v>
      </c>
    </row>
    <row r="263" spans="1:9" ht="120" x14ac:dyDescent="0.2">
      <c r="A263" s="522">
        <v>240</v>
      </c>
      <c r="B263" s="537" t="s">
        <v>3717</v>
      </c>
      <c r="C263" s="520" t="s">
        <v>3718</v>
      </c>
      <c r="D263" s="519" t="s">
        <v>2126</v>
      </c>
      <c r="E263" s="520" t="s">
        <v>2128</v>
      </c>
      <c r="F263" s="113" t="s">
        <v>18</v>
      </c>
      <c r="G263" s="113" t="s">
        <v>1559</v>
      </c>
      <c r="H263" s="534">
        <f>(6864194)/1000*$H$3</f>
        <v>6864.1940000000004</v>
      </c>
      <c r="I263" s="534">
        <f>H263-(0/1000*$H$3)</f>
        <v>6864.1940000000004</v>
      </c>
    </row>
    <row r="264" spans="1:9" ht="96" x14ac:dyDescent="0.2">
      <c r="A264" s="522">
        <v>241</v>
      </c>
      <c r="B264" s="537" t="s">
        <v>3561</v>
      </c>
      <c r="C264" s="520" t="s">
        <v>3719</v>
      </c>
      <c r="D264" s="519" t="s">
        <v>1989</v>
      </c>
      <c r="E264" s="520" t="s">
        <v>3720</v>
      </c>
      <c r="F264" s="113" t="s">
        <v>18</v>
      </c>
      <c r="G264" s="113" t="s">
        <v>22</v>
      </c>
      <c r="H264" s="534">
        <f>(8690819)/1000*$H$3</f>
        <v>8690.8189999999995</v>
      </c>
      <c r="I264" s="534">
        <f>H264-(0)/1000*$H$3</f>
        <v>8690.8189999999995</v>
      </c>
    </row>
    <row r="265" spans="1:9" ht="72" x14ac:dyDescent="0.2">
      <c r="A265" s="522">
        <v>242</v>
      </c>
      <c r="B265" s="537" t="s">
        <v>3337</v>
      </c>
      <c r="C265" s="520" t="s">
        <v>3721</v>
      </c>
      <c r="D265" s="519" t="s">
        <v>1757</v>
      </c>
      <c r="E265" s="520" t="s">
        <v>3722</v>
      </c>
      <c r="F265" s="113" t="s">
        <v>18</v>
      </c>
      <c r="G265" s="518" t="s">
        <v>20</v>
      </c>
      <c r="H265" s="534">
        <f>(61910)/1000*$H$3</f>
        <v>61.91</v>
      </c>
      <c r="I265" s="534">
        <f>H265-(0)/1000*$H$3</f>
        <v>61.91</v>
      </c>
    </row>
    <row r="266" spans="1:9" ht="72" x14ac:dyDescent="0.2">
      <c r="A266" s="522">
        <v>243</v>
      </c>
      <c r="B266" s="537" t="s">
        <v>3337</v>
      </c>
      <c r="C266" s="520" t="s">
        <v>3721</v>
      </c>
      <c r="D266" s="519" t="s">
        <v>1759</v>
      </c>
      <c r="E266" s="520" t="s">
        <v>1842</v>
      </c>
      <c r="F266" s="113" t="s">
        <v>18</v>
      </c>
      <c r="G266" s="518" t="s">
        <v>63</v>
      </c>
      <c r="H266" s="534">
        <f>(2650496)/1000*$H$3</f>
        <v>2650.4960000000001</v>
      </c>
      <c r="I266" s="534">
        <f>H266-(350000)/1000*$H$3</f>
        <v>2300.4960000000001</v>
      </c>
    </row>
    <row r="267" spans="1:9" ht="48" x14ac:dyDescent="0.2">
      <c r="A267" s="522">
        <v>244</v>
      </c>
      <c r="B267" s="539" t="s">
        <v>3723</v>
      </c>
      <c r="C267" s="520" t="s">
        <v>3724</v>
      </c>
      <c r="D267" s="519" t="s">
        <v>2142</v>
      </c>
      <c r="E267" s="520" t="s">
        <v>2145</v>
      </c>
      <c r="F267" s="113" t="s">
        <v>18</v>
      </c>
      <c r="G267" s="113" t="s">
        <v>18</v>
      </c>
      <c r="H267" s="534">
        <f>(67220)/1000*$H$3</f>
        <v>67.22</v>
      </c>
      <c r="I267" s="534">
        <f t="shared" ref="I267:I272" si="10">H267-(0)/1000*$H$3</f>
        <v>67.22</v>
      </c>
    </row>
    <row r="268" spans="1:9" ht="108" x14ac:dyDescent="0.2">
      <c r="A268" s="522">
        <v>245</v>
      </c>
      <c r="B268" s="537" t="s">
        <v>3316</v>
      </c>
      <c r="C268" s="520" t="s">
        <v>3725</v>
      </c>
      <c r="D268" s="519" t="s">
        <v>1531</v>
      </c>
      <c r="E268" s="520" t="s">
        <v>1539</v>
      </c>
      <c r="F268" s="518" t="s">
        <v>20</v>
      </c>
      <c r="G268" s="518" t="s">
        <v>19</v>
      </c>
      <c r="H268" s="534">
        <f>(1700000)/1000*$H$3</f>
        <v>1700</v>
      </c>
      <c r="I268" s="534">
        <f t="shared" si="10"/>
        <v>1700</v>
      </c>
    </row>
    <row r="269" spans="1:9" ht="84" x14ac:dyDescent="0.2">
      <c r="A269" s="522">
        <v>246</v>
      </c>
      <c r="B269" s="537" t="s">
        <v>3302</v>
      </c>
      <c r="C269" s="520" t="s">
        <v>3726</v>
      </c>
      <c r="D269" s="519" t="s">
        <v>1970</v>
      </c>
      <c r="E269" s="521" t="s">
        <v>1971</v>
      </c>
      <c r="F269" s="113" t="s">
        <v>20</v>
      </c>
      <c r="G269" s="518" t="s">
        <v>17</v>
      </c>
      <c r="H269" s="534">
        <f>(3516949)/1000*$H$3</f>
        <v>3516.9490000000001</v>
      </c>
      <c r="I269" s="534">
        <f t="shared" si="10"/>
        <v>3516.9490000000001</v>
      </c>
    </row>
    <row r="270" spans="1:9" ht="96" x14ac:dyDescent="0.2">
      <c r="A270" s="522">
        <v>247</v>
      </c>
      <c r="B270" s="537" t="s">
        <v>3418</v>
      </c>
      <c r="C270" s="520" t="s">
        <v>3727</v>
      </c>
      <c r="D270" s="519" t="s">
        <v>1569</v>
      </c>
      <c r="E270" s="521" t="s">
        <v>1571</v>
      </c>
      <c r="F270" s="113" t="s">
        <v>20</v>
      </c>
      <c r="G270" s="113" t="s">
        <v>63</v>
      </c>
      <c r="H270" s="534">
        <f>(255000)/1000*$H$3</f>
        <v>255</v>
      </c>
      <c r="I270" s="534">
        <f t="shared" si="10"/>
        <v>255</v>
      </c>
    </row>
    <row r="271" spans="1:9" ht="96" x14ac:dyDescent="0.2">
      <c r="A271" s="522">
        <v>248</v>
      </c>
      <c r="B271" s="537" t="s">
        <v>3728</v>
      </c>
      <c r="C271" s="520" t="s">
        <v>3729</v>
      </c>
      <c r="D271" s="519" t="s">
        <v>1580</v>
      </c>
      <c r="E271" s="521" t="s">
        <v>1582</v>
      </c>
      <c r="F271" s="113" t="s">
        <v>20</v>
      </c>
      <c r="G271" s="113" t="s">
        <v>15</v>
      </c>
      <c r="H271" s="534">
        <f>(1679909)/1000*$H$3</f>
        <v>1679.9090000000001</v>
      </c>
      <c r="I271" s="534">
        <f t="shared" si="10"/>
        <v>1679.9090000000001</v>
      </c>
    </row>
    <row r="272" spans="1:9" ht="96" x14ac:dyDescent="0.2">
      <c r="A272" s="522">
        <v>249</v>
      </c>
      <c r="B272" s="537" t="s">
        <v>3730</v>
      </c>
      <c r="C272" s="520" t="s">
        <v>3731</v>
      </c>
      <c r="D272" s="519" t="s">
        <v>2162</v>
      </c>
      <c r="E272" s="520" t="s">
        <v>3732</v>
      </c>
      <c r="F272" s="113" t="s">
        <v>20</v>
      </c>
      <c r="G272" s="113" t="s">
        <v>15</v>
      </c>
      <c r="H272" s="534">
        <f>(8916750+3227059)/1000*$H$3</f>
        <v>12143.808999999999</v>
      </c>
      <c r="I272" s="534">
        <f t="shared" si="10"/>
        <v>12143.808999999999</v>
      </c>
    </row>
    <row r="273" spans="1:9" ht="48" x14ac:dyDescent="0.2">
      <c r="A273" s="522">
        <v>250</v>
      </c>
      <c r="B273" s="537" t="s">
        <v>2075</v>
      </c>
      <c r="C273" s="520" t="s">
        <v>2086</v>
      </c>
      <c r="D273" s="519" t="s">
        <v>2079</v>
      </c>
      <c r="E273" s="520" t="s">
        <v>3733</v>
      </c>
      <c r="F273" s="113" t="s">
        <v>20</v>
      </c>
      <c r="G273" s="113" t="s">
        <v>638</v>
      </c>
      <c r="H273" s="534">
        <f>(48893322)/1000*$H$3</f>
        <v>48893.322</v>
      </c>
      <c r="I273" s="534">
        <f>H273-(9582012+891342+10082600)/1000*$H$3</f>
        <v>28337.367999999999</v>
      </c>
    </row>
    <row r="274" spans="1:9" ht="72" x14ac:dyDescent="0.2">
      <c r="A274" s="522">
        <v>251</v>
      </c>
      <c r="B274" s="537" t="s">
        <v>3337</v>
      </c>
      <c r="C274" s="520" t="s">
        <v>3708</v>
      </c>
      <c r="D274" s="519" t="s">
        <v>1756</v>
      </c>
      <c r="E274" s="520" t="s">
        <v>1764</v>
      </c>
      <c r="F274" s="113" t="s">
        <v>20</v>
      </c>
      <c r="G274" s="518" t="s">
        <v>63</v>
      </c>
      <c r="H274" s="534">
        <f>(279729)/1000*$H$3</f>
        <v>279.72899999999998</v>
      </c>
      <c r="I274" s="534">
        <f t="shared" ref="I274:I279" si="11">H274-(0)/1000*$H$3</f>
        <v>279.72899999999998</v>
      </c>
    </row>
    <row r="275" spans="1:9" ht="72" x14ac:dyDescent="0.2">
      <c r="A275" s="522">
        <v>252</v>
      </c>
      <c r="B275" s="537" t="s">
        <v>3337</v>
      </c>
      <c r="C275" s="520" t="s">
        <v>3734</v>
      </c>
      <c r="D275" s="519" t="s">
        <v>1758</v>
      </c>
      <c r="E275" s="520" t="s">
        <v>1768</v>
      </c>
      <c r="F275" s="113" t="s">
        <v>20</v>
      </c>
      <c r="G275" s="518" t="s">
        <v>20</v>
      </c>
      <c r="H275" s="534">
        <f>(1181433)/1000*$H$3</f>
        <v>1181.433</v>
      </c>
      <c r="I275" s="534">
        <f t="shared" si="11"/>
        <v>1181.433</v>
      </c>
    </row>
    <row r="276" spans="1:9" ht="168" x14ac:dyDescent="0.2">
      <c r="A276" s="522">
        <v>253</v>
      </c>
      <c r="B276" s="537" t="s">
        <v>3337</v>
      </c>
      <c r="C276" s="520" t="s">
        <v>3734</v>
      </c>
      <c r="D276" s="519" t="s">
        <v>1761</v>
      </c>
      <c r="E276" s="520" t="s">
        <v>1775</v>
      </c>
      <c r="F276" s="113" t="s">
        <v>20</v>
      </c>
      <c r="G276" s="518" t="s">
        <v>63</v>
      </c>
      <c r="H276" s="534">
        <f>(1517435)/1000*$H$3</f>
        <v>1517.4349999999999</v>
      </c>
      <c r="I276" s="534">
        <f t="shared" si="11"/>
        <v>1517.4349999999999</v>
      </c>
    </row>
    <row r="277" spans="1:9" ht="48" x14ac:dyDescent="0.2">
      <c r="A277" s="522">
        <v>254</v>
      </c>
      <c r="B277" s="539" t="s">
        <v>3723</v>
      </c>
      <c r="C277" s="520" t="s">
        <v>3724</v>
      </c>
      <c r="D277" s="519" t="s">
        <v>2143</v>
      </c>
      <c r="E277" s="520" t="s">
        <v>2145</v>
      </c>
      <c r="F277" s="113" t="s">
        <v>20</v>
      </c>
      <c r="G277" s="113" t="s">
        <v>20</v>
      </c>
      <c r="H277" s="534">
        <f>(67322)/1000*$H$3</f>
        <v>67.322000000000003</v>
      </c>
      <c r="I277" s="534">
        <f t="shared" si="11"/>
        <v>67.322000000000003</v>
      </c>
    </row>
    <row r="278" spans="1:9" ht="84" x14ac:dyDescent="0.2">
      <c r="A278" s="522">
        <v>255</v>
      </c>
      <c r="B278" s="537" t="s">
        <v>3302</v>
      </c>
      <c r="C278" s="520" t="s">
        <v>3726</v>
      </c>
      <c r="D278" s="519" t="s">
        <v>1976</v>
      </c>
      <c r="E278" s="521" t="s">
        <v>3735</v>
      </c>
      <c r="F278" s="113" t="s">
        <v>63</v>
      </c>
      <c r="G278" s="518" t="s">
        <v>1586</v>
      </c>
      <c r="H278" s="534">
        <f>(22181987)/1000*$H$3</f>
        <v>22181.987000000001</v>
      </c>
      <c r="I278" s="534">
        <f t="shared" si="11"/>
        <v>22181.987000000001</v>
      </c>
    </row>
    <row r="279" spans="1:9" ht="96" x14ac:dyDescent="0.2">
      <c r="A279" s="522">
        <v>256</v>
      </c>
      <c r="B279" s="537" t="s">
        <v>3325</v>
      </c>
      <c r="C279" s="520" t="s">
        <v>3682</v>
      </c>
      <c r="D279" s="519" t="s">
        <v>1551</v>
      </c>
      <c r="E279" s="521" t="s">
        <v>1703</v>
      </c>
      <c r="F279" s="113" t="s">
        <v>63</v>
      </c>
      <c r="G279" s="113" t="s">
        <v>15</v>
      </c>
      <c r="H279" s="534">
        <f>(782051)/1000*$H$3</f>
        <v>782.05100000000004</v>
      </c>
      <c r="I279" s="534">
        <f t="shared" si="11"/>
        <v>782.05100000000004</v>
      </c>
    </row>
    <row r="280" spans="1:9" ht="96" x14ac:dyDescent="0.2">
      <c r="A280" s="522">
        <v>257</v>
      </c>
      <c r="B280" s="537" t="s">
        <v>3728</v>
      </c>
      <c r="C280" s="520" t="s">
        <v>3736</v>
      </c>
      <c r="D280" s="519" t="s">
        <v>1583</v>
      </c>
      <c r="E280" s="521" t="s">
        <v>1585</v>
      </c>
      <c r="F280" s="113" t="s">
        <v>63</v>
      </c>
      <c r="G280" s="113" t="s">
        <v>1586</v>
      </c>
      <c r="H280" s="534">
        <f>(2625060)/1000*$H$3</f>
        <v>2625.06</v>
      </c>
      <c r="I280" s="534">
        <f>H280-(1755454)/1000*$H$3</f>
        <v>869.60599999999999</v>
      </c>
    </row>
    <row r="281" spans="1:9" ht="144" x14ac:dyDescent="0.2">
      <c r="A281" s="522">
        <v>258</v>
      </c>
      <c r="B281" s="537" t="s">
        <v>3737</v>
      </c>
      <c r="C281" s="520" t="s">
        <v>3738</v>
      </c>
      <c r="D281" s="519" t="s">
        <v>2122</v>
      </c>
      <c r="E281" s="520" t="s">
        <v>2541</v>
      </c>
      <c r="F281" s="113" t="s">
        <v>63</v>
      </c>
      <c r="G281" s="113" t="s">
        <v>1559</v>
      </c>
      <c r="H281" s="534">
        <f>(7100000)/1000*$H$3</f>
        <v>7100</v>
      </c>
      <c r="I281" s="534">
        <f>H281-(0)/1000*$H$3</f>
        <v>7100</v>
      </c>
    </row>
    <row r="282" spans="1:9" ht="96" x14ac:dyDescent="0.2">
      <c r="A282" s="522">
        <v>259</v>
      </c>
      <c r="B282" s="537" t="s">
        <v>3561</v>
      </c>
      <c r="C282" s="520" t="s">
        <v>3739</v>
      </c>
      <c r="D282" s="519" t="s">
        <v>1996</v>
      </c>
      <c r="E282" s="520" t="s">
        <v>3740</v>
      </c>
      <c r="F282" s="113" t="s">
        <v>63</v>
      </c>
      <c r="G282" s="518" t="s">
        <v>3274</v>
      </c>
      <c r="H282" s="534">
        <f>(89165550)/1000*$H$3</f>
        <v>89165.55</v>
      </c>
      <c r="I282" s="534">
        <f>H282-(1768736+1701953+1221423+359593+2296938+3510188)/1000*$H$3</f>
        <v>78306.718999999997</v>
      </c>
    </row>
    <row r="283" spans="1:9" ht="72" x14ac:dyDescent="0.2">
      <c r="A283" s="522">
        <v>260</v>
      </c>
      <c r="B283" s="537" t="s">
        <v>3741</v>
      </c>
      <c r="C283" s="520" t="s">
        <v>3742</v>
      </c>
      <c r="D283" s="519" t="s">
        <v>1771</v>
      </c>
      <c r="E283" s="520" t="s">
        <v>1769</v>
      </c>
      <c r="F283" s="113" t="s">
        <v>63</v>
      </c>
      <c r="G283" s="518" t="s">
        <v>15</v>
      </c>
      <c r="H283" s="534">
        <f>(587068)/1000*$H$3</f>
        <v>587.06799999999998</v>
      </c>
      <c r="I283" s="534">
        <f t="shared" ref="I283:I289" si="12">H283-(0)/1000*$H$3</f>
        <v>587.06799999999998</v>
      </c>
    </row>
    <row r="284" spans="1:9" ht="72" x14ac:dyDescent="0.2">
      <c r="A284" s="522">
        <v>261</v>
      </c>
      <c r="B284" s="537" t="s">
        <v>3741</v>
      </c>
      <c r="C284" s="520" t="s">
        <v>3742</v>
      </c>
      <c r="D284" s="519" t="s">
        <v>1760</v>
      </c>
      <c r="E284" s="520" t="s">
        <v>3743</v>
      </c>
      <c r="F284" s="113" t="s">
        <v>63</v>
      </c>
      <c r="G284" s="518" t="s">
        <v>63</v>
      </c>
      <c r="H284" s="534">
        <f>(727460)/1000*$H$3</f>
        <v>727.46</v>
      </c>
      <c r="I284" s="534">
        <f t="shared" si="12"/>
        <v>727.46</v>
      </c>
    </row>
    <row r="285" spans="1:9" ht="72" x14ac:dyDescent="0.2">
      <c r="A285" s="522">
        <v>262</v>
      </c>
      <c r="B285" s="537" t="s">
        <v>3741</v>
      </c>
      <c r="C285" s="520" t="s">
        <v>3742</v>
      </c>
      <c r="D285" s="519" t="s">
        <v>1776</v>
      </c>
      <c r="E285" s="520" t="s">
        <v>1784</v>
      </c>
      <c r="F285" s="113" t="s">
        <v>63</v>
      </c>
      <c r="G285" s="518" t="s">
        <v>1554</v>
      </c>
      <c r="H285" s="534">
        <f>(3373345)/1000*$H$3</f>
        <v>3373.3449999999998</v>
      </c>
      <c r="I285" s="534">
        <f t="shared" si="12"/>
        <v>3373.3449999999998</v>
      </c>
    </row>
    <row r="286" spans="1:9" ht="60" x14ac:dyDescent="0.2">
      <c r="A286" s="522">
        <v>263</v>
      </c>
      <c r="B286" s="537" t="s">
        <v>3432</v>
      </c>
      <c r="C286" s="517" t="s">
        <v>3744</v>
      </c>
      <c r="D286" s="516" t="s">
        <v>2167</v>
      </c>
      <c r="E286" s="520" t="s">
        <v>2169</v>
      </c>
      <c r="F286" s="113" t="s">
        <v>63</v>
      </c>
      <c r="G286" s="113" t="s">
        <v>63</v>
      </c>
      <c r="H286" s="534">
        <f>(1330000)/1000*$H$3</f>
        <v>1330</v>
      </c>
      <c r="I286" s="534">
        <f t="shared" si="12"/>
        <v>1330</v>
      </c>
    </row>
    <row r="287" spans="1:9" ht="96" x14ac:dyDescent="0.2">
      <c r="A287" s="522">
        <v>264</v>
      </c>
      <c r="B287" s="537" t="s">
        <v>3435</v>
      </c>
      <c r="C287" s="520" t="s">
        <v>3745</v>
      </c>
      <c r="D287" s="519" t="s">
        <v>1478</v>
      </c>
      <c r="E287" s="521" t="s">
        <v>1476</v>
      </c>
      <c r="F287" s="113" t="s">
        <v>1554</v>
      </c>
      <c r="G287" s="113" t="s">
        <v>15</v>
      </c>
      <c r="H287" s="534">
        <f>(750000)/1000*$H$3</f>
        <v>750</v>
      </c>
      <c r="I287" s="534">
        <f t="shared" si="12"/>
        <v>750</v>
      </c>
    </row>
    <row r="288" spans="1:9" ht="96" x14ac:dyDescent="0.2">
      <c r="A288" s="522">
        <v>265</v>
      </c>
      <c r="B288" s="537" t="s">
        <v>3418</v>
      </c>
      <c r="C288" s="520" t="s">
        <v>3682</v>
      </c>
      <c r="D288" s="519" t="s">
        <v>1553</v>
      </c>
      <c r="E288" s="521" t="s">
        <v>3746</v>
      </c>
      <c r="F288" s="113" t="s">
        <v>1554</v>
      </c>
      <c r="G288" s="113" t="s">
        <v>15</v>
      </c>
      <c r="H288" s="534">
        <f>(3081392)/1000*$H$3</f>
        <v>3081.3919999999998</v>
      </c>
      <c r="I288" s="534">
        <f t="shared" si="12"/>
        <v>3081.3919999999998</v>
      </c>
    </row>
    <row r="289" spans="1:9" ht="132" x14ac:dyDescent="0.2">
      <c r="A289" s="522">
        <v>266</v>
      </c>
      <c r="B289" s="537" t="s">
        <v>3747</v>
      </c>
      <c r="C289" s="520" t="s">
        <v>3748</v>
      </c>
      <c r="D289" s="519" t="s">
        <v>1626</v>
      </c>
      <c r="E289" s="520" t="s">
        <v>1615</v>
      </c>
      <c r="F289" s="113" t="s">
        <v>1554</v>
      </c>
      <c r="G289" s="113" t="s">
        <v>15</v>
      </c>
      <c r="H289" s="534">
        <f>(1350000)/1000*$H$3</f>
        <v>1350</v>
      </c>
      <c r="I289" s="534">
        <f t="shared" si="12"/>
        <v>1350</v>
      </c>
    </row>
    <row r="290" spans="1:9" ht="132" x14ac:dyDescent="0.2">
      <c r="A290" s="522">
        <v>267</v>
      </c>
      <c r="B290" s="537" t="s">
        <v>3297</v>
      </c>
      <c r="C290" s="520" t="s">
        <v>3749</v>
      </c>
      <c r="D290" s="519" t="s">
        <v>1672</v>
      </c>
      <c r="E290" s="520" t="s">
        <v>3750</v>
      </c>
      <c r="F290" s="113" t="s">
        <v>1554</v>
      </c>
      <c r="G290" s="113" t="s">
        <v>1586</v>
      </c>
      <c r="H290" s="534">
        <f>(3263657)/1000*$H$3</f>
        <v>3263.6570000000002</v>
      </c>
      <c r="I290" s="534">
        <f>H290-(932389.33)/1000*$H$3</f>
        <v>2331.2676700000002</v>
      </c>
    </row>
    <row r="291" spans="1:9" ht="120" x14ac:dyDescent="0.2">
      <c r="A291" s="522">
        <v>268</v>
      </c>
      <c r="B291" s="539" t="s">
        <v>3751</v>
      </c>
      <c r="C291" s="520" t="s">
        <v>3752</v>
      </c>
      <c r="D291" s="519" t="s">
        <v>1668</v>
      </c>
      <c r="E291" s="520" t="s">
        <v>1667</v>
      </c>
      <c r="F291" s="113" t="s">
        <v>1554</v>
      </c>
      <c r="G291" s="113" t="s">
        <v>638</v>
      </c>
      <c r="H291" s="534">
        <f>(17489503.24+1753630.42+5107274.05)/1000*$H$3</f>
        <v>24350.407709999996</v>
      </c>
      <c r="I291" s="534">
        <f>H291-(3343312+3670183.03+76931+836694.29+1273822.91+121348.95)/1000*$H$3</f>
        <v>15028.115529999997</v>
      </c>
    </row>
    <row r="292" spans="1:9" ht="144" x14ac:dyDescent="0.2">
      <c r="A292" s="522">
        <v>269</v>
      </c>
      <c r="B292" s="537" t="s">
        <v>3753</v>
      </c>
      <c r="C292" s="520" t="s">
        <v>3754</v>
      </c>
      <c r="D292" s="519" t="s">
        <v>2174</v>
      </c>
      <c r="E292" s="520" t="s">
        <v>2175</v>
      </c>
      <c r="F292" s="113" t="s">
        <v>1554</v>
      </c>
      <c r="G292" s="113" t="s">
        <v>1591</v>
      </c>
      <c r="H292" s="534">
        <f>(4555372)/1000*$H$3</f>
        <v>4555.3720000000003</v>
      </c>
      <c r="I292" s="534">
        <f>H292-(2000000+638467)/1000*$H$3</f>
        <v>1916.9050000000002</v>
      </c>
    </row>
    <row r="293" spans="1:9" ht="60" x14ac:dyDescent="0.2">
      <c r="A293" s="522">
        <v>270</v>
      </c>
      <c r="B293" s="537" t="s">
        <v>2085</v>
      </c>
      <c r="C293" s="520" t="s">
        <v>3755</v>
      </c>
      <c r="D293" s="519" t="s">
        <v>2092</v>
      </c>
      <c r="E293" s="520" t="s">
        <v>2087</v>
      </c>
      <c r="F293" s="113" t="s">
        <v>1554</v>
      </c>
      <c r="G293" s="113" t="s">
        <v>613</v>
      </c>
      <c r="H293" s="534">
        <f>(15084745)/1000*$H$3</f>
        <v>15084.745000000001</v>
      </c>
      <c r="I293" s="534">
        <f>H293-(0/1000*$H$3)</f>
        <v>15084.745000000001</v>
      </c>
    </row>
    <row r="294" spans="1:9" ht="60" x14ac:dyDescent="0.2">
      <c r="A294" s="522">
        <v>271</v>
      </c>
      <c r="B294" s="537" t="s">
        <v>2085</v>
      </c>
      <c r="C294" s="520" t="s">
        <v>3755</v>
      </c>
      <c r="D294" s="519" t="s">
        <v>2095</v>
      </c>
      <c r="E294" s="520" t="s">
        <v>2088</v>
      </c>
      <c r="F294" s="113" t="s">
        <v>1554</v>
      </c>
      <c r="G294" s="113" t="s">
        <v>613</v>
      </c>
      <c r="H294" s="534">
        <f>(5508474)/1000*$H$3</f>
        <v>5508.4740000000002</v>
      </c>
      <c r="I294" s="534">
        <f>H294-(0/1000*$H$3)</f>
        <v>5508.4740000000002</v>
      </c>
    </row>
    <row r="295" spans="1:9" ht="60" x14ac:dyDescent="0.2">
      <c r="A295" s="522">
        <v>272</v>
      </c>
      <c r="B295" s="537" t="s">
        <v>2085</v>
      </c>
      <c r="C295" s="520" t="s">
        <v>3755</v>
      </c>
      <c r="D295" s="519" t="s">
        <v>2096</v>
      </c>
      <c r="E295" s="520" t="s">
        <v>2089</v>
      </c>
      <c r="F295" s="113" t="s">
        <v>1554</v>
      </c>
      <c r="G295" s="113" t="s">
        <v>613</v>
      </c>
      <c r="H295" s="534">
        <f>(2889831)/1000*$H$3</f>
        <v>2889.8310000000001</v>
      </c>
      <c r="I295" s="534">
        <f>H295-(0/1000*$H$3)</f>
        <v>2889.8310000000001</v>
      </c>
    </row>
    <row r="296" spans="1:9" ht="60" x14ac:dyDescent="0.2">
      <c r="A296" s="522">
        <v>273</v>
      </c>
      <c r="B296" s="537" t="s">
        <v>2085</v>
      </c>
      <c r="C296" s="520" t="s">
        <v>3755</v>
      </c>
      <c r="D296" s="519" t="s">
        <v>2097</v>
      </c>
      <c r="E296" s="520" t="s">
        <v>2090</v>
      </c>
      <c r="F296" s="113" t="s">
        <v>1554</v>
      </c>
      <c r="G296" s="113" t="s">
        <v>613</v>
      </c>
      <c r="H296" s="534">
        <f>(3686441)/1000*$H$3</f>
        <v>3686.4409999999998</v>
      </c>
      <c r="I296" s="534">
        <f>H296-(0/1000*$H$3)</f>
        <v>3686.4409999999998</v>
      </c>
    </row>
    <row r="297" spans="1:9" ht="60" x14ac:dyDescent="0.2">
      <c r="A297" s="522">
        <v>274</v>
      </c>
      <c r="B297" s="537" t="s">
        <v>2085</v>
      </c>
      <c r="C297" s="520" t="s">
        <v>3755</v>
      </c>
      <c r="D297" s="519" t="s">
        <v>2098</v>
      </c>
      <c r="E297" s="520" t="s">
        <v>2091</v>
      </c>
      <c r="F297" s="113" t="s">
        <v>1554</v>
      </c>
      <c r="G297" s="113" t="s">
        <v>613</v>
      </c>
      <c r="H297" s="534">
        <f>(13983051)/1000*$H$3</f>
        <v>13983.050999999999</v>
      </c>
      <c r="I297" s="534">
        <f>H297-(0/1000*$H$3)</f>
        <v>13983.050999999999</v>
      </c>
    </row>
    <row r="298" spans="1:9" ht="72" x14ac:dyDescent="0.2">
      <c r="A298" s="522">
        <v>275</v>
      </c>
      <c r="B298" s="537" t="s">
        <v>3756</v>
      </c>
      <c r="C298" s="520" t="s">
        <v>3757</v>
      </c>
      <c r="D298" s="519" t="s">
        <v>2016</v>
      </c>
      <c r="E298" s="520" t="s">
        <v>2020</v>
      </c>
      <c r="F298" s="113" t="s">
        <v>1554</v>
      </c>
      <c r="G298" s="113" t="s">
        <v>1520</v>
      </c>
      <c r="H298" s="534">
        <f>(8180369.68)/1000*$H$3</f>
        <v>8180.3696799999998</v>
      </c>
      <c r="I298" s="534">
        <f>H298-(186416+66291)/1000*$H$3</f>
        <v>7927.6626799999995</v>
      </c>
    </row>
    <row r="299" spans="1:9" ht="72" x14ac:dyDescent="0.2">
      <c r="A299" s="522">
        <v>276</v>
      </c>
      <c r="B299" s="537" t="s">
        <v>3337</v>
      </c>
      <c r="C299" s="520" t="s">
        <v>3721</v>
      </c>
      <c r="D299" s="519" t="s">
        <v>1777</v>
      </c>
      <c r="E299" s="520" t="s">
        <v>1785</v>
      </c>
      <c r="F299" s="113" t="s">
        <v>1554</v>
      </c>
      <c r="G299" s="518" t="s">
        <v>1554</v>
      </c>
      <c r="H299" s="534">
        <f>(122097)/1000*$H$3</f>
        <v>122.09699999999999</v>
      </c>
      <c r="I299" s="534">
        <f t="shared" ref="I299:I309" si="13">H299-(0)/1000*$H$3</f>
        <v>122.09699999999999</v>
      </c>
    </row>
    <row r="300" spans="1:9" ht="96" x14ac:dyDescent="0.2">
      <c r="A300" s="522">
        <v>277</v>
      </c>
      <c r="B300" s="537" t="s">
        <v>3758</v>
      </c>
      <c r="C300" s="520" t="s">
        <v>3759</v>
      </c>
      <c r="D300" s="519" t="s">
        <v>1935</v>
      </c>
      <c r="E300" s="520" t="s">
        <v>1881</v>
      </c>
      <c r="F300" s="113" t="s">
        <v>1554</v>
      </c>
      <c r="G300" s="518" t="s">
        <v>1554</v>
      </c>
      <c r="H300" s="534">
        <f>(350830)/1000*$H$3</f>
        <v>350.83</v>
      </c>
      <c r="I300" s="534">
        <f t="shared" si="13"/>
        <v>350.83</v>
      </c>
    </row>
    <row r="301" spans="1:9" ht="180" x14ac:dyDescent="0.2">
      <c r="A301" s="522">
        <v>278</v>
      </c>
      <c r="B301" s="537" t="s">
        <v>3760</v>
      </c>
      <c r="C301" s="520" t="s">
        <v>3761</v>
      </c>
      <c r="D301" s="519" t="s">
        <v>2038</v>
      </c>
      <c r="E301" s="520" t="s">
        <v>2036</v>
      </c>
      <c r="F301" s="113" t="s">
        <v>1554</v>
      </c>
      <c r="G301" s="518" t="s">
        <v>1614</v>
      </c>
      <c r="H301" s="534">
        <f>(39146588.3+30418798.71+4517178)/1000*$H$3</f>
        <v>74082.565009999991</v>
      </c>
      <c r="I301" s="534">
        <f t="shared" si="13"/>
        <v>74082.565009999991</v>
      </c>
    </row>
    <row r="302" spans="1:9" ht="120" x14ac:dyDescent="0.2">
      <c r="A302" s="522">
        <v>279</v>
      </c>
      <c r="B302" s="537" t="s">
        <v>3762</v>
      </c>
      <c r="C302" s="520" t="s">
        <v>3763</v>
      </c>
      <c r="D302" s="519" t="s">
        <v>2206</v>
      </c>
      <c r="E302" s="520" t="s">
        <v>3764</v>
      </c>
      <c r="F302" s="113" t="s">
        <v>17</v>
      </c>
      <c r="G302" s="113" t="s">
        <v>598</v>
      </c>
      <c r="H302" s="534">
        <f>(2975092)/1000*$H$3</f>
        <v>2975.0920000000001</v>
      </c>
      <c r="I302" s="534">
        <f t="shared" si="13"/>
        <v>2975.0920000000001</v>
      </c>
    </row>
    <row r="303" spans="1:9" ht="96" x14ac:dyDescent="0.2">
      <c r="A303" s="522">
        <v>280</v>
      </c>
      <c r="B303" s="537" t="s">
        <v>3765</v>
      </c>
      <c r="C303" s="520" t="s">
        <v>3766</v>
      </c>
      <c r="D303" s="519" t="s">
        <v>1990</v>
      </c>
      <c r="E303" s="520" t="s">
        <v>1992</v>
      </c>
      <c r="F303" s="113" t="s">
        <v>17</v>
      </c>
      <c r="G303" s="113" t="s">
        <v>19</v>
      </c>
      <c r="H303" s="534">
        <f>(663726)/1000*$H$3</f>
        <v>663.726</v>
      </c>
      <c r="I303" s="534">
        <f t="shared" si="13"/>
        <v>663.726</v>
      </c>
    </row>
    <row r="304" spans="1:9" ht="84" x14ac:dyDescent="0.2">
      <c r="A304" s="522">
        <v>281</v>
      </c>
      <c r="B304" s="537" t="s">
        <v>3337</v>
      </c>
      <c r="C304" s="520" t="s">
        <v>3767</v>
      </c>
      <c r="D304" s="519" t="s">
        <v>1795</v>
      </c>
      <c r="E304" s="520" t="s">
        <v>1789</v>
      </c>
      <c r="F304" s="113" t="s">
        <v>17</v>
      </c>
      <c r="G304" s="518" t="s">
        <v>15</v>
      </c>
      <c r="H304" s="534">
        <f>(1153170)/1000*$H$3</f>
        <v>1153.17</v>
      </c>
      <c r="I304" s="534">
        <f t="shared" si="13"/>
        <v>1153.17</v>
      </c>
    </row>
    <row r="305" spans="1:9" ht="72" x14ac:dyDescent="0.2">
      <c r="A305" s="522">
        <v>282</v>
      </c>
      <c r="B305" s="537" t="s">
        <v>3337</v>
      </c>
      <c r="C305" s="520" t="s">
        <v>3767</v>
      </c>
      <c r="D305" s="519" t="s">
        <v>1779</v>
      </c>
      <c r="E305" s="520" t="s">
        <v>1791</v>
      </c>
      <c r="F305" s="113" t="s">
        <v>17</v>
      </c>
      <c r="G305" s="518" t="s">
        <v>598</v>
      </c>
      <c r="H305" s="534">
        <f>(3359181)/1000*$H$3</f>
        <v>3359.181</v>
      </c>
      <c r="I305" s="534">
        <f t="shared" si="13"/>
        <v>3359.181</v>
      </c>
    </row>
    <row r="306" spans="1:9" ht="72" x14ac:dyDescent="0.2">
      <c r="A306" s="522">
        <v>283</v>
      </c>
      <c r="B306" s="537" t="s">
        <v>3337</v>
      </c>
      <c r="C306" s="520" t="s">
        <v>3767</v>
      </c>
      <c r="D306" s="519" t="s">
        <v>1796</v>
      </c>
      <c r="E306" s="520" t="s">
        <v>1794</v>
      </c>
      <c r="F306" s="113" t="s">
        <v>17</v>
      </c>
      <c r="G306" s="518" t="s">
        <v>610</v>
      </c>
      <c r="H306" s="534">
        <f>(4255000)/1000*$H$3</f>
        <v>4255</v>
      </c>
      <c r="I306" s="534">
        <f t="shared" si="13"/>
        <v>4255</v>
      </c>
    </row>
    <row r="307" spans="1:9" ht="60" x14ac:dyDescent="0.2">
      <c r="A307" s="522">
        <v>284</v>
      </c>
      <c r="B307" s="539" t="s">
        <v>3768</v>
      </c>
      <c r="C307" s="520" t="s">
        <v>3770</v>
      </c>
      <c r="D307" s="519" t="s">
        <v>2194</v>
      </c>
      <c r="E307" s="520" t="s">
        <v>3773</v>
      </c>
      <c r="F307" s="113" t="s">
        <v>17</v>
      </c>
      <c r="G307" s="113" t="s">
        <v>598</v>
      </c>
      <c r="H307" s="534">
        <f>(131786)/1000*$H$3</f>
        <v>131.786</v>
      </c>
      <c r="I307" s="534">
        <f t="shared" si="13"/>
        <v>131.786</v>
      </c>
    </row>
    <row r="308" spans="1:9" ht="60" x14ac:dyDescent="0.2">
      <c r="A308" s="522">
        <v>285</v>
      </c>
      <c r="B308" s="539" t="s">
        <v>3768</v>
      </c>
      <c r="C308" s="520" t="s">
        <v>3771</v>
      </c>
      <c r="D308" s="519" t="s">
        <v>2195</v>
      </c>
      <c r="E308" s="520" t="s">
        <v>3774</v>
      </c>
      <c r="F308" s="113" t="s">
        <v>17</v>
      </c>
      <c r="G308" s="113" t="s">
        <v>598</v>
      </c>
      <c r="H308" s="534">
        <f>(335844)/1000*$H$3</f>
        <v>335.84399999999999</v>
      </c>
      <c r="I308" s="534">
        <f t="shared" si="13"/>
        <v>335.84399999999999</v>
      </c>
    </row>
    <row r="309" spans="1:9" ht="60" x14ac:dyDescent="0.2">
      <c r="A309" s="522">
        <v>286</v>
      </c>
      <c r="B309" s="539" t="s">
        <v>3768</v>
      </c>
      <c r="C309" s="520" t="s">
        <v>3772</v>
      </c>
      <c r="D309" s="519" t="s">
        <v>2196</v>
      </c>
      <c r="E309" s="520" t="s">
        <v>3769</v>
      </c>
      <c r="F309" s="113" t="s">
        <v>17</v>
      </c>
      <c r="G309" s="113" t="s">
        <v>598</v>
      </c>
      <c r="H309" s="534">
        <f>(282015)/1000*$H$3</f>
        <v>282.01499999999999</v>
      </c>
      <c r="I309" s="534">
        <f t="shared" si="13"/>
        <v>282.01499999999999</v>
      </c>
    </row>
    <row r="310" spans="1:9" ht="156" x14ac:dyDescent="0.2">
      <c r="A310" s="522">
        <v>287</v>
      </c>
      <c r="B310" s="537" t="s">
        <v>3435</v>
      </c>
      <c r="C310" s="520" t="s">
        <v>3775</v>
      </c>
      <c r="D310" s="519" t="s">
        <v>2134</v>
      </c>
      <c r="E310" s="520" t="s">
        <v>3776</v>
      </c>
      <c r="F310" s="113" t="s">
        <v>19</v>
      </c>
      <c r="G310" s="113" t="s">
        <v>638</v>
      </c>
      <c r="H310" s="534">
        <f>(2238628)/1000*$H$3</f>
        <v>2238.6280000000002</v>
      </c>
      <c r="I310" s="534">
        <f>H310</f>
        <v>2238.6280000000002</v>
      </c>
    </row>
    <row r="311" spans="1:9" ht="96" x14ac:dyDescent="0.2">
      <c r="A311" s="522">
        <v>288</v>
      </c>
      <c r="B311" s="537" t="s">
        <v>3307</v>
      </c>
      <c r="C311" s="517" t="s">
        <v>3777</v>
      </c>
      <c r="D311" s="519" t="s">
        <v>1504</v>
      </c>
      <c r="E311" s="520" t="s">
        <v>3778</v>
      </c>
      <c r="F311" s="113" t="s">
        <v>19</v>
      </c>
      <c r="G311" s="518" t="s">
        <v>1559</v>
      </c>
      <c r="H311" s="534">
        <f>(1250000)/1000*$H$3</f>
        <v>1250</v>
      </c>
      <c r="I311" s="534">
        <f t="shared" ref="I311:I319" si="14">H311-(0)/1000*$H$3</f>
        <v>1250</v>
      </c>
    </row>
    <row r="312" spans="1:9" ht="108" x14ac:dyDescent="0.2">
      <c r="A312" s="522">
        <v>289</v>
      </c>
      <c r="B312" s="537" t="s">
        <v>3631</v>
      </c>
      <c r="C312" s="520" t="s">
        <v>4186</v>
      </c>
      <c r="D312" s="519" t="s">
        <v>2221</v>
      </c>
      <c r="E312" s="520" t="s">
        <v>2219</v>
      </c>
      <c r="F312" s="113" t="s">
        <v>19</v>
      </c>
      <c r="G312" s="518" t="s">
        <v>638</v>
      </c>
      <c r="H312" s="534">
        <f>(381253)/1000*$H$3</f>
        <v>381.25299999999999</v>
      </c>
      <c r="I312" s="534">
        <f t="shared" si="14"/>
        <v>381.25299999999999</v>
      </c>
    </row>
    <row r="313" spans="1:9" ht="72" x14ac:dyDescent="0.2">
      <c r="A313" s="522">
        <v>290</v>
      </c>
      <c r="B313" s="537" t="s">
        <v>3337</v>
      </c>
      <c r="C313" s="520" t="s">
        <v>3767</v>
      </c>
      <c r="D313" s="519" t="s">
        <v>1778</v>
      </c>
      <c r="E313" s="520" t="s">
        <v>3779</v>
      </c>
      <c r="F313" s="113" t="s">
        <v>19</v>
      </c>
      <c r="G313" s="518" t="s">
        <v>19</v>
      </c>
      <c r="H313" s="534">
        <f>(637224)/1000*$H$3</f>
        <v>637.22400000000005</v>
      </c>
      <c r="I313" s="534">
        <f t="shared" si="14"/>
        <v>637.22400000000005</v>
      </c>
    </row>
    <row r="314" spans="1:9" ht="96" x14ac:dyDescent="0.2">
      <c r="A314" s="522">
        <v>291</v>
      </c>
      <c r="B314" s="537" t="s">
        <v>3337</v>
      </c>
      <c r="C314" s="520" t="s">
        <v>3767</v>
      </c>
      <c r="D314" s="519" t="s">
        <v>1797</v>
      </c>
      <c r="E314" s="520" t="s">
        <v>3780</v>
      </c>
      <c r="F314" s="113" t="s">
        <v>19</v>
      </c>
      <c r="G314" s="518" t="s">
        <v>1721</v>
      </c>
      <c r="H314" s="534">
        <f>(353828)/1000*$H$3</f>
        <v>353.82799999999997</v>
      </c>
      <c r="I314" s="534">
        <f t="shared" si="14"/>
        <v>353.82799999999997</v>
      </c>
    </row>
    <row r="315" spans="1:9" ht="72" x14ac:dyDescent="0.2">
      <c r="A315" s="522">
        <v>292</v>
      </c>
      <c r="B315" s="537" t="s">
        <v>3337</v>
      </c>
      <c r="C315" s="520" t="s">
        <v>3767</v>
      </c>
      <c r="D315" s="519" t="s">
        <v>1780</v>
      </c>
      <c r="E315" s="520" t="s">
        <v>1800</v>
      </c>
      <c r="F315" s="113" t="s">
        <v>19</v>
      </c>
      <c r="G315" s="518" t="s">
        <v>15</v>
      </c>
      <c r="H315" s="534">
        <f>(1213435)/1000*$H$3</f>
        <v>1213.4349999999999</v>
      </c>
      <c r="I315" s="534">
        <f t="shared" si="14"/>
        <v>1213.4349999999999</v>
      </c>
    </row>
    <row r="316" spans="1:9" ht="96" x14ac:dyDescent="0.2">
      <c r="A316" s="522">
        <v>293</v>
      </c>
      <c r="B316" s="537" t="s">
        <v>3337</v>
      </c>
      <c r="C316" s="520" t="s">
        <v>3767</v>
      </c>
      <c r="D316" s="519" t="s">
        <v>1781</v>
      </c>
      <c r="E316" s="520" t="s">
        <v>3781</v>
      </c>
      <c r="F316" s="113" t="s">
        <v>19</v>
      </c>
      <c r="G316" s="518" t="s">
        <v>610</v>
      </c>
      <c r="H316" s="534">
        <f>(1630446)/1000*$H$3</f>
        <v>1630.4459999999999</v>
      </c>
      <c r="I316" s="534">
        <f t="shared" si="14"/>
        <v>1630.4459999999999</v>
      </c>
    </row>
    <row r="317" spans="1:9" ht="72" x14ac:dyDescent="0.2">
      <c r="A317" s="522">
        <v>294</v>
      </c>
      <c r="B317" s="537" t="s">
        <v>3337</v>
      </c>
      <c r="C317" s="520" t="s">
        <v>3767</v>
      </c>
      <c r="D317" s="519" t="s">
        <v>1782</v>
      </c>
      <c r="E317" s="520" t="s">
        <v>1803</v>
      </c>
      <c r="F317" s="113" t="s">
        <v>19</v>
      </c>
      <c r="G317" s="518" t="s">
        <v>598</v>
      </c>
      <c r="H317" s="534">
        <f>(2036726)/1000*$H$3</f>
        <v>2036.7260000000001</v>
      </c>
      <c r="I317" s="534">
        <f t="shared" si="14"/>
        <v>2036.7260000000001</v>
      </c>
    </row>
    <row r="318" spans="1:9" ht="192" x14ac:dyDescent="0.2">
      <c r="A318" s="522">
        <v>295</v>
      </c>
      <c r="B318" s="537" t="s">
        <v>3782</v>
      </c>
      <c r="C318" s="520" t="s">
        <v>3783</v>
      </c>
      <c r="D318" s="519" t="s">
        <v>2052</v>
      </c>
      <c r="E318" s="520" t="s">
        <v>3784</v>
      </c>
      <c r="F318" s="113" t="s">
        <v>15</v>
      </c>
      <c r="G318" s="113" t="s">
        <v>1520</v>
      </c>
      <c r="H318" s="534">
        <f>(6369318.04)/1000*$H$3</f>
        <v>6369.3180400000001</v>
      </c>
      <c r="I318" s="534">
        <f t="shared" si="14"/>
        <v>6369.3180400000001</v>
      </c>
    </row>
    <row r="319" spans="1:9" ht="108" x14ac:dyDescent="0.2">
      <c r="A319" s="522">
        <v>296</v>
      </c>
      <c r="B319" s="537" t="s">
        <v>3785</v>
      </c>
      <c r="C319" s="520" t="s">
        <v>3786</v>
      </c>
      <c r="D319" s="519" t="s">
        <v>2215</v>
      </c>
      <c r="E319" s="520" t="s">
        <v>2216</v>
      </c>
      <c r="F319" s="113" t="s">
        <v>15</v>
      </c>
      <c r="G319" s="518" t="s">
        <v>598</v>
      </c>
      <c r="H319" s="534">
        <f>(875464)/1000*$H$3</f>
        <v>875.46400000000006</v>
      </c>
      <c r="I319" s="534">
        <f t="shared" si="14"/>
        <v>875.46400000000006</v>
      </c>
    </row>
    <row r="320" spans="1:9" ht="168" x14ac:dyDescent="0.2">
      <c r="A320" s="522">
        <v>297</v>
      </c>
      <c r="B320" s="537" t="s">
        <v>3787</v>
      </c>
      <c r="C320" s="520" t="s">
        <v>3788</v>
      </c>
      <c r="D320" s="519" t="s">
        <v>2236</v>
      </c>
      <c r="E320" s="520" t="s">
        <v>2238</v>
      </c>
      <c r="F320" s="113" t="s">
        <v>15</v>
      </c>
      <c r="G320" s="113" t="s">
        <v>1677</v>
      </c>
      <c r="H320" s="534">
        <f>(12142956)/1000*$H$3</f>
        <v>12142.956</v>
      </c>
      <c r="I320" s="534">
        <f>H320-(2491891+3035260)/1000*$H$3</f>
        <v>6615.8050000000003</v>
      </c>
    </row>
    <row r="321" spans="1:9" ht="132" x14ac:dyDescent="0.2">
      <c r="A321" s="522">
        <v>298</v>
      </c>
      <c r="B321" s="537" t="s">
        <v>3790</v>
      </c>
      <c r="C321" s="520" t="s">
        <v>3789</v>
      </c>
      <c r="D321" s="519" t="s">
        <v>2177</v>
      </c>
      <c r="E321" s="520" t="s">
        <v>2178</v>
      </c>
      <c r="F321" s="113" t="s">
        <v>15</v>
      </c>
      <c r="G321" s="113" t="s">
        <v>1830</v>
      </c>
      <c r="H321" s="534">
        <f>(4255098)/1000*$H$3</f>
        <v>4255.098</v>
      </c>
      <c r="I321" s="534">
        <f>H321-(0)/1000*$H$3</f>
        <v>4255.098</v>
      </c>
    </row>
    <row r="322" spans="1:9" ht="84" x14ac:dyDescent="0.2">
      <c r="A322" s="522">
        <v>299</v>
      </c>
      <c r="B322" s="537" t="s">
        <v>3337</v>
      </c>
      <c r="C322" s="520" t="s">
        <v>3792</v>
      </c>
      <c r="D322" s="519" t="s">
        <v>1813</v>
      </c>
      <c r="E322" s="520" t="s">
        <v>1837</v>
      </c>
      <c r="F322" s="113" t="s">
        <v>15</v>
      </c>
      <c r="G322" s="518" t="s">
        <v>1830</v>
      </c>
      <c r="H322" s="534">
        <f>(1834000)/1000*$H$3</f>
        <v>1834</v>
      </c>
      <c r="I322" s="534">
        <f>H322-(0)/1000*$H$3</f>
        <v>1834</v>
      </c>
    </row>
    <row r="323" spans="1:9" ht="60" x14ac:dyDescent="0.2">
      <c r="A323" s="522">
        <v>300</v>
      </c>
      <c r="B323" s="537" t="s">
        <v>3793</v>
      </c>
      <c r="C323" s="517" t="s">
        <v>4254</v>
      </c>
      <c r="D323" s="516" t="s">
        <v>2168</v>
      </c>
      <c r="E323" s="520" t="s">
        <v>2170</v>
      </c>
      <c r="F323" s="113" t="s">
        <v>15</v>
      </c>
      <c r="G323" s="113" t="s">
        <v>1559</v>
      </c>
      <c r="H323" s="534">
        <f>(1280000)/1000*$H$3</f>
        <v>1280</v>
      </c>
      <c r="I323" s="534">
        <f>H323-(0)/1000*$H$3</f>
        <v>1280</v>
      </c>
    </row>
    <row r="324" spans="1:9" ht="48" x14ac:dyDescent="0.2">
      <c r="A324" s="522">
        <v>301</v>
      </c>
      <c r="B324" s="539" t="s">
        <v>3723</v>
      </c>
      <c r="C324" s="520" t="s">
        <v>3794</v>
      </c>
      <c r="D324" s="519" t="s">
        <v>2144</v>
      </c>
      <c r="E324" s="520" t="s">
        <v>2145</v>
      </c>
      <c r="F324" s="113" t="s">
        <v>15</v>
      </c>
      <c r="G324" s="113" t="s">
        <v>15</v>
      </c>
      <c r="H324" s="534">
        <f>(66103)/1000*$H$3</f>
        <v>66.102999999999994</v>
      </c>
      <c r="I324" s="534">
        <f>H324-(0)/1000*$H$3</f>
        <v>66.102999999999994</v>
      </c>
    </row>
    <row r="325" spans="1:9" ht="96" x14ac:dyDescent="0.2">
      <c r="A325" s="522">
        <v>302</v>
      </c>
      <c r="B325" s="537" t="s">
        <v>3418</v>
      </c>
      <c r="C325" s="520" t="s">
        <v>3682</v>
      </c>
      <c r="D325" s="519" t="s">
        <v>1558</v>
      </c>
      <c r="E325" s="521" t="s">
        <v>1557</v>
      </c>
      <c r="F325" s="113" t="s">
        <v>598</v>
      </c>
      <c r="G325" s="113" t="s">
        <v>1559</v>
      </c>
      <c r="H325" s="534">
        <f>(133000)/1000*$H$3</f>
        <v>133</v>
      </c>
      <c r="I325" s="534">
        <f>H325-(0)/1000*$H$3</f>
        <v>133</v>
      </c>
    </row>
    <row r="326" spans="1:9" ht="192" x14ac:dyDescent="0.2">
      <c r="A326" s="522">
        <v>303</v>
      </c>
      <c r="B326" s="537" t="s">
        <v>3795</v>
      </c>
      <c r="C326" s="520" t="s">
        <v>3796</v>
      </c>
      <c r="D326" s="519" t="s">
        <v>2056</v>
      </c>
      <c r="E326" s="520" t="s">
        <v>3797</v>
      </c>
      <c r="F326" s="113" t="s">
        <v>598</v>
      </c>
      <c r="G326" s="113" t="s">
        <v>1643</v>
      </c>
      <c r="H326" s="534">
        <f>(42819564.42)/1000*$H$3</f>
        <v>42819.564420000002</v>
      </c>
      <c r="I326" s="534">
        <f>H326-(5186673+3973049+376243.4)/1000*$H$3</f>
        <v>33283.599020000001</v>
      </c>
    </row>
    <row r="327" spans="1:9" ht="180" x14ac:dyDescent="0.2">
      <c r="A327" s="522">
        <v>304</v>
      </c>
      <c r="B327" s="537" t="s">
        <v>3798</v>
      </c>
      <c r="C327" s="520" t="s">
        <v>3799</v>
      </c>
      <c r="D327" s="519" t="s">
        <v>2062</v>
      </c>
      <c r="E327" s="520" t="s">
        <v>3800</v>
      </c>
      <c r="F327" s="113" t="s">
        <v>598</v>
      </c>
      <c r="G327" s="113" t="s">
        <v>1559</v>
      </c>
      <c r="H327" s="534">
        <f>(2228159)/1000*$H$3</f>
        <v>2228.1590000000001</v>
      </c>
      <c r="I327" s="534">
        <f>H327-(0)/1000*$H$3</f>
        <v>2228.1590000000001</v>
      </c>
    </row>
    <row r="328" spans="1:9" ht="192" x14ac:dyDescent="0.2">
      <c r="A328" s="522">
        <v>305</v>
      </c>
      <c r="B328" s="537" t="s">
        <v>3801</v>
      </c>
      <c r="C328" s="520" t="s">
        <v>3802</v>
      </c>
      <c r="D328" s="519" t="s">
        <v>2059</v>
      </c>
      <c r="E328" s="520" t="s">
        <v>2057</v>
      </c>
      <c r="F328" s="113" t="s">
        <v>598</v>
      </c>
      <c r="G328" s="113" t="s">
        <v>2060</v>
      </c>
      <c r="H328" s="534">
        <f>(14500000)/1000*$H$3</f>
        <v>14500</v>
      </c>
      <c r="I328" s="534">
        <f>H328-(119355+34094.86+5816509)/1000*$H$3</f>
        <v>8530.0411399999994</v>
      </c>
    </row>
    <row r="329" spans="1:9" ht="84" x14ac:dyDescent="0.2">
      <c r="A329" s="522">
        <v>306</v>
      </c>
      <c r="B329" s="537" t="s">
        <v>3803</v>
      </c>
      <c r="C329" s="520" t="s">
        <v>3804</v>
      </c>
      <c r="D329" s="519" t="s">
        <v>2223</v>
      </c>
      <c r="E329" s="520" t="s">
        <v>3805</v>
      </c>
      <c r="F329" s="113" t="s">
        <v>598</v>
      </c>
      <c r="G329" s="113" t="s">
        <v>1559</v>
      </c>
      <c r="H329" s="534">
        <f>(508475)/1000*$H$3</f>
        <v>508.47500000000002</v>
      </c>
      <c r="I329" s="534">
        <f>H329-(0/1000*$H$3)</f>
        <v>508.47500000000002</v>
      </c>
    </row>
    <row r="330" spans="1:9" ht="156" x14ac:dyDescent="0.2">
      <c r="A330" s="522">
        <v>307</v>
      </c>
      <c r="B330" s="537" t="s">
        <v>3430</v>
      </c>
      <c r="C330" s="520" t="s">
        <v>3806</v>
      </c>
      <c r="D330" s="519" t="s">
        <v>2118</v>
      </c>
      <c r="E330" s="520" t="s">
        <v>2119</v>
      </c>
      <c r="F330" s="113" t="s">
        <v>598</v>
      </c>
      <c r="G330" s="113" t="s">
        <v>1830</v>
      </c>
      <c r="H330" s="534">
        <f>(3102029)/1000*$H$3</f>
        <v>3102.029</v>
      </c>
      <c r="I330" s="534">
        <f>H330-(0)/1000*$H$3</f>
        <v>3102.029</v>
      </c>
    </row>
    <row r="331" spans="1:9" ht="96" x14ac:dyDescent="0.2">
      <c r="A331" s="522">
        <v>308</v>
      </c>
      <c r="B331" s="537" t="s">
        <v>3807</v>
      </c>
      <c r="C331" s="520" t="s">
        <v>3808</v>
      </c>
      <c r="D331" s="519" t="s">
        <v>1486</v>
      </c>
      <c r="E331" s="521" t="s">
        <v>1485</v>
      </c>
      <c r="F331" s="113" t="s">
        <v>1488</v>
      </c>
      <c r="G331" s="113" t="s">
        <v>1487</v>
      </c>
      <c r="H331" s="534">
        <f>(800000)/1000*$H$3</f>
        <v>800</v>
      </c>
      <c r="I331" s="534">
        <f>H331-(10)/1000*$H$3</f>
        <v>799.99</v>
      </c>
    </row>
    <row r="332" spans="1:9" ht="156" x14ac:dyDescent="0.2">
      <c r="A332" s="522">
        <v>309</v>
      </c>
      <c r="B332" s="537" t="s">
        <v>3809</v>
      </c>
      <c r="C332" s="520" t="s">
        <v>3810</v>
      </c>
      <c r="D332" s="519" t="s">
        <v>1496</v>
      </c>
      <c r="E332" s="520" t="s">
        <v>1497</v>
      </c>
      <c r="F332" s="113" t="s">
        <v>1559</v>
      </c>
      <c r="G332" s="113" t="s">
        <v>1491</v>
      </c>
      <c r="H332" s="534">
        <f>(1938340)/1000*$H$3</f>
        <v>1938.34</v>
      </c>
      <c r="I332" s="534">
        <f t="shared" ref="I332:I338" si="15">H332-(0)/1000*$H$3</f>
        <v>1938.34</v>
      </c>
    </row>
    <row r="333" spans="1:9" ht="96" x14ac:dyDescent="0.2">
      <c r="A333" s="522">
        <v>310</v>
      </c>
      <c r="B333" s="537" t="s">
        <v>3418</v>
      </c>
      <c r="C333" s="520" t="s">
        <v>3811</v>
      </c>
      <c r="D333" s="519" t="s">
        <v>1562</v>
      </c>
      <c r="E333" s="521" t="s">
        <v>1561</v>
      </c>
      <c r="F333" s="113" t="s">
        <v>1559</v>
      </c>
      <c r="G333" s="113" t="s">
        <v>1559</v>
      </c>
      <c r="H333" s="534">
        <f>(418891)/1000*$H$3</f>
        <v>418.89100000000002</v>
      </c>
      <c r="I333" s="534">
        <f t="shared" si="15"/>
        <v>418.89100000000002</v>
      </c>
    </row>
    <row r="334" spans="1:9" ht="96" x14ac:dyDescent="0.2">
      <c r="A334" s="522">
        <v>311</v>
      </c>
      <c r="B334" s="537" t="s">
        <v>3325</v>
      </c>
      <c r="C334" s="520" t="s">
        <v>3727</v>
      </c>
      <c r="D334" s="519" t="s">
        <v>1690</v>
      </c>
      <c r="E334" s="521" t="s">
        <v>1691</v>
      </c>
      <c r="F334" s="113" t="s">
        <v>1559</v>
      </c>
      <c r="G334" s="113" t="s">
        <v>1559</v>
      </c>
      <c r="H334" s="534">
        <f>(396260)/1000*$H$3</f>
        <v>396.26</v>
      </c>
      <c r="I334" s="534">
        <f t="shared" si="15"/>
        <v>396.26</v>
      </c>
    </row>
    <row r="335" spans="1:9" ht="96" x14ac:dyDescent="0.2">
      <c r="A335" s="522">
        <v>312</v>
      </c>
      <c r="B335" s="537" t="s">
        <v>3418</v>
      </c>
      <c r="C335" s="520" t="s">
        <v>3727</v>
      </c>
      <c r="D335" s="519" t="s">
        <v>1565</v>
      </c>
      <c r="E335" s="521" t="s">
        <v>1563</v>
      </c>
      <c r="F335" s="113" t="s">
        <v>1559</v>
      </c>
      <c r="G335" s="113" t="s">
        <v>638</v>
      </c>
      <c r="H335" s="534">
        <f>(576911)/1000*$H$3</f>
        <v>576.91099999999994</v>
      </c>
      <c r="I335" s="534">
        <f t="shared" si="15"/>
        <v>576.91099999999994</v>
      </c>
    </row>
    <row r="336" spans="1:9" ht="132" x14ac:dyDescent="0.2">
      <c r="A336" s="522">
        <v>313</v>
      </c>
      <c r="B336" s="537" t="s">
        <v>3697</v>
      </c>
      <c r="C336" s="520" t="s">
        <v>3812</v>
      </c>
      <c r="D336" s="519" t="s">
        <v>1609</v>
      </c>
      <c r="E336" s="520" t="s">
        <v>1607</v>
      </c>
      <c r="F336" s="113" t="s">
        <v>1559</v>
      </c>
      <c r="G336" s="113" t="s">
        <v>1559</v>
      </c>
      <c r="H336" s="534">
        <f>(545000)/1000*$H$3</f>
        <v>545</v>
      </c>
      <c r="I336" s="534">
        <f t="shared" si="15"/>
        <v>545</v>
      </c>
    </row>
    <row r="337" spans="1:9" ht="120" x14ac:dyDescent="0.2">
      <c r="A337" s="522">
        <v>314</v>
      </c>
      <c r="B337" s="537" t="s">
        <v>3813</v>
      </c>
      <c r="C337" s="520" t="s">
        <v>3814</v>
      </c>
      <c r="D337" s="519" t="s">
        <v>1652</v>
      </c>
      <c r="E337" s="520" t="s">
        <v>1649</v>
      </c>
      <c r="F337" s="113" t="s">
        <v>1559</v>
      </c>
      <c r="G337" s="113" t="s">
        <v>638</v>
      </c>
      <c r="H337" s="534">
        <f>(1874786+522698)/1000*$H$3</f>
        <v>2397.4839999999999</v>
      </c>
      <c r="I337" s="534">
        <f t="shared" si="15"/>
        <v>2397.4839999999999</v>
      </c>
    </row>
    <row r="338" spans="1:9" ht="144" x14ac:dyDescent="0.2">
      <c r="A338" s="522">
        <v>315</v>
      </c>
      <c r="B338" s="537" t="s">
        <v>3801</v>
      </c>
      <c r="C338" s="520" t="s">
        <v>3815</v>
      </c>
      <c r="D338" s="519" t="s">
        <v>2315</v>
      </c>
      <c r="E338" s="520" t="s">
        <v>2314</v>
      </c>
      <c r="F338" s="113" t="s">
        <v>1559</v>
      </c>
      <c r="G338" s="113" t="s">
        <v>610</v>
      </c>
      <c r="H338" s="534">
        <f>(220707.71)/1000*$H$3</f>
        <v>220.70770999999999</v>
      </c>
      <c r="I338" s="534">
        <f t="shared" si="15"/>
        <v>220.70770999999999</v>
      </c>
    </row>
    <row r="339" spans="1:9" ht="126.75" customHeight="1" x14ac:dyDescent="0.2">
      <c r="A339" s="522">
        <v>316</v>
      </c>
      <c r="B339" s="537" t="s">
        <v>2014</v>
      </c>
      <c r="C339" s="520" t="s">
        <v>3816</v>
      </c>
      <c r="D339" s="519" t="s">
        <v>2017</v>
      </c>
      <c r="E339" s="520" t="s">
        <v>2959</v>
      </c>
      <c r="F339" s="113" t="s">
        <v>1559</v>
      </c>
      <c r="G339" s="113" t="s">
        <v>638</v>
      </c>
      <c r="H339" s="534">
        <f>(1234821.32)/1000*$H$3</f>
        <v>1234.82132</v>
      </c>
      <c r="I339" s="534">
        <f>H339-(1209855.08)/1000*$H$3</f>
        <v>24.966239999999971</v>
      </c>
    </row>
    <row r="340" spans="1:9" ht="84" x14ac:dyDescent="0.2">
      <c r="A340" s="522">
        <v>317</v>
      </c>
      <c r="B340" s="537" t="s">
        <v>3337</v>
      </c>
      <c r="C340" s="520" t="s">
        <v>3817</v>
      </c>
      <c r="D340" s="519" t="s">
        <v>1806</v>
      </c>
      <c r="E340" s="520" t="s">
        <v>1805</v>
      </c>
      <c r="F340" s="113" t="s">
        <v>1559</v>
      </c>
      <c r="G340" s="518" t="s">
        <v>610</v>
      </c>
      <c r="H340" s="534">
        <f>(2200000)/1000*$H$3</f>
        <v>2200</v>
      </c>
      <c r="I340" s="534">
        <f>H340-(0)/1000*$H$3</f>
        <v>2200</v>
      </c>
    </row>
    <row r="341" spans="1:9" ht="156" x14ac:dyDescent="0.2">
      <c r="A341" s="522">
        <v>318</v>
      </c>
      <c r="B341" s="537" t="s">
        <v>3807</v>
      </c>
      <c r="C341" s="520" t="s">
        <v>3818</v>
      </c>
      <c r="D341" s="519" t="s">
        <v>1499</v>
      </c>
      <c r="E341" s="520" t="s">
        <v>3819</v>
      </c>
      <c r="F341" s="515" t="s">
        <v>610</v>
      </c>
      <c r="G341" s="113" t="s">
        <v>1501</v>
      </c>
      <c r="H341" s="534">
        <f>(2539767.51)/1000*$H$3</f>
        <v>2539.7675099999997</v>
      </c>
      <c r="I341" s="534">
        <f>H341-(0)/1000*$H$3</f>
        <v>2539.7675099999997</v>
      </c>
    </row>
    <row r="342" spans="1:9" ht="60" x14ac:dyDescent="0.2">
      <c r="A342" s="522">
        <v>319</v>
      </c>
      <c r="B342" s="537" t="s">
        <v>3302</v>
      </c>
      <c r="C342" s="520" t="s">
        <v>3820</v>
      </c>
      <c r="D342" s="519" t="s">
        <v>1983</v>
      </c>
      <c r="E342" s="521" t="s">
        <v>1984</v>
      </c>
      <c r="F342" s="113" t="s">
        <v>610</v>
      </c>
      <c r="G342" s="113" t="s">
        <v>872</v>
      </c>
      <c r="H342" s="534">
        <f>(4507625)/1000*$H$3</f>
        <v>4507.625</v>
      </c>
      <c r="I342" s="534">
        <f>H342-(0)/1000*$H$3</f>
        <v>4507.625</v>
      </c>
    </row>
    <row r="343" spans="1:9" ht="60" x14ac:dyDescent="0.2">
      <c r="A343" s="522">
        <v>320</v>
      </c>
      <c r="B343" s="537" t="s">
        <v>3432</v>
      </c>
      <c r="C343" s="517" t="s">
        <v>4255</v>
      </c>
      <c r="D343" s="516" t="s">
        <v>2184</v>
      </c>
      <c r="E343" s="520" t="s">
        <v>3822</v>
      </c>
      <c r="F343" s="113" t="s">
        <v>610</v>
      </c>
      <c r="G343" s="113" t="s">
        <v>1721</v>
      </c>
      <c r="H343" s="534">
        <f>(180000)/1000*$H$3</f>
        <v>180</v>
      </c>
      <c r="I343" s="534">
        <f>H343-(0)/1000*$H$3</f>
        <v>180</v>
      </c>
    </row>
    <row r="344" spans="1:9" ht="156" x14ac:dyDescent="0.2">
      <c r="A344" s="522">
        <v>321</v>
      </c>
      <c r="B344" s="537" t="s">
        <v>3435</v>
      </c>
      <c r="C344" s="520" t="s">
        <v>3823</v>
      </c>
      <c r="D344" s="519" t="s">
        <v>2139</v>
      </c>
      <c r="E344" s="520" t="s">
        <v>2137</v>
      </c>
      <c r="F344" s="113" t="s">
        <v>1721</v>
      </c>
      <c r="G344" s="113" t="s">
        <v>1677</v>
      </c>
      <c r="H344" s="534">
        <f>(807215)/1000*$H$3</f>
        <v>807.21500000000003</v>
      </c>
      <c r="I344" s="534">
        <f>H344</f>
        <v>807.21500000000003</v>
      </c>
    </row>
    <row r="345" spans="1:9" ht="108" x14ac:dyDescent="0.2">
      <c r="A345" s="522">
        <v>322</v>
      </c>
      <c r="B345" s="537" t="s">
        <v>3824</v>
      </c>
      <c r="C345" s="520" t="s">
        <v>3825</v>
      </c>
      <c r="D345" s="519" t="s">
        <v>1718</v>
      </c>
      <c r="E345" s="520" t="s">
        <v>3826</v>
      </c>
      <c r="F345" s="113" t="s">
        <v>1721</v>
      </c>
      <c r="G345" s="113" t="s">
        <v>613</v>
      </c>
      <c r="H345" s="534">
        <f>(850000)/1000*$H$3</f>
        <v>850</v>
      </c>
      <c r="I345" s="534">
        <f>H345-(0)/1000*$H$3</f>
        <v>850</v>
      </c>
    </row>
    <row r="346" spans="1:9" ht="96" x14ac:dyDescent="0.2">
      <c r="A346" s="522">
        <v>323</v>
      </c>
      <c r="B346" s="537" t="s">
        <v>3827</v>
      </c>
      <c r="C346" s="520" t="s">
        <v>3828</v>
      </c>
      <c r="D346" s="519" t="s">
        <v>2338</v>
      </c>
      <c r="E346" s="520" t="s">
        <v>2336</v>
      </c>
      <c r="F346" s="113" t="s">
        <v>1721</v>
      </c>
      <c r="G346" s="113" t="s">
        <v>1677</v>
      </c>
      <c r="H346" s="534">
        <f>(935511.27)/1000*$H$3</f>
        <v>935.51126999999997</v>
      </c>
      <c r="I346" s="534">
        <f>H346-(57177/1000*$H$3)</f>
        <v>878.33426999999995</v>
      </c>
    </row>
    <row r="347" spans="1:9" ht="60" x14ac:dyDescent="0.2">
      <c r="A347" s="522">
        <v>324</v>
      </c>
      <c r="B347" s="537" t="s">
        <v>3432</v>
      </c>
      <c r="C347" s="517" t="s">
        <v>3829</v>
      </c>
      <c r="D347" s="516" t="s">
        <v>2189</v>
      </c>
      <c r="E347" s="520" t="s">
        <v>2191</v>
      </c>
      <c r="F347" s="113" t="s">
        <v>1721</v>
      </c>
      <c r="G347" s="113" t="s">
        <v>1520</v>
      </c>
      <c r="H347" s="534">
        <f>(1171280.24-281028.34)/1000*$H$3</f>
        <v>890.25189999999986</v>
      </c>
      <c r="I347" s="534">
        <f>H347-(0)/1000*$H$3</f>
        <v>890.25189999999986</v>
      </c>
    </row>
    <row r="348" spans="1:9" ht="96" x14ac:dyDescent="0.2">
      <c r="A348" s="522">
        <v>325</v>
      </c>
      <c r="B348" s="537" t="s">
        <v>3305</v>
      </c>
      <c r="C348" s="520" t="s">
        <v>3682</v>
      </c>
      <c r="D348" s="519" t="s">
        <v>1567</v>
      </c>
      <c r="E348" s="521" t="s">
        <v>3830</v>
      </c>
      <c r="F348" s="113" t="s">
        <v>613</v>
      </c>
      <c r="G348" s="113" t="s">
        <v>1520</v>
      </c>
      <c r="H348" s="534">
        <f>(2200000)/1000*$H$3</f>
        <v>2200</v>
      </c>
      <c r="I348" s="534">
        <f>H348-(0)/1000*$H$3</f>
        <v>2200</v>
      </c>
    </row>
    <row r="349" spans="1:9" ht="72" x14ac:dyDescent="0.2">
      <c r="A349" s="522">
        <v>326</v>
      </c>
      <c r="B349" s="537" t="s">
        <v>3831</v>
      </c>
      <c r="C349" s="520" t="s">
        <v>3832</v>
      </c>
      <c r="D349" s="519" t="s">
        <v>2293</v>
      </c>
      <c r="E349" s="520" t="s">
        <v>2290</v>
      </c>
      <c r="F349" s="113" t="s">
        <v>613</v>
      </c>
      <c r="G349" s="113" t="s">
        <v>1635</v>
      </c>
      <c r="H349" s="534">
        <f>(54237288)/1000*$H$3</f>
        <v>54237.288</v>
      </c>
      <c r="I349" s="534">
        <f>H349-(1281801+1997507.78)/1000*$H$3</f>
        <v>50957.979220000001</v>
      </c>
    </row>
    <row r="350" spans="1:9" ht="72" x14ac:dyDescent="0.2">
      <c r="A350" s="522">
        <v>327</v>
      </c>
      <c r="B350" s="537" t="s">
        <v>3833</v>
      </c>
      <c r="C350" s="520" t="s">
        <v>3834</v>
      </c>
      <c r="D350" s="519" t="s">
        <v>2333</v>
      </c>
      <c r="E350" s="520" t="s">
        <v>2332</v>
      </c>
      <c r="F350" s="113" t="s">
        <v>613</v>
      </c>
      <c r="G350" s="113" t="s">
        <v>1522</v>
      </c>
      <c r="H350" s="534">
        <f>(170384)/1000*$H$3</f>
        <v>170.38399999999999</v>
      </c>
      <c r="I350" s="534">
        <f>H350-(57177/1000*$H$3)</f>
        <v>113.20699999999999</v>
      </c>
    </row>
    <row r="351" spans="1:9" ht="60" x14ac:dyDescent="0.2">
      <c r="A351" s="522">
        <v>328</v>
      </c>
      <c r="B351" s="537" t="s">
        <v>3836</v>
      </c>
      <c r="C351" s="520" t="s">
        <v>3835</v>
      </c>
      <c r="D351" s="519" t="s">
        <v>2288</v>
      </c>
      <c r="E351" s="520" t="s">
        <v>2286</v>
      </c>
      <c r="F351" s="113" t="s">
        <v>613</v>
      </c>
      <c r="G351" s="113" t="s">
        <v>1830</v>
      </c>
      <c r="H351" s="534">
        <f>(1918547.11)/1000*$H$3</f>
        <v>1918.5471100000002</v>
      </c>
      <c r="I351" s="534">
        <f>H351-(0)/1000*$H$3</f>
        <v>1918.5471100000002</v>
      </c>
    </row>
    <row r="352" spans="1:9" ht="72" x14ac:dyDescent="0.2">
      <c r="A352" s="522">
        <v>329</v>
      </c>
      <c r="B352" s="537" t="s">
        <v>3337</v>
      </c>
      <c r="C352" s="520" t="s">
        <v>3837</v>
      </c>
      <c r="D352" s="519" t="s">
        <v>1808</v>
      </c>
      <c r="E352" s="520" t="s">
        <v>1828</v>
      </c>
      <c r="F352" s="113" t="s">
        <v>613</v>
      </c>
      <c r="G352" s="518" t="s">
        <v>1830</v>
      </c>
      <c r="H352" s="534">
        <f>(546921)/1000*$H$3</f>
        <v>546.92100000000005</v>
      </c>
      <c r="I352" s="534">
        <f>H352-(0)/1000*$H$3</f>
        <v>546.92100000000005</v>
      </c>
    </row>
    <row r="353" spans="1:9" ht="120" x14ac:dyDescent="0.2">
      <c r="A353" s="522">
        <v>330</v>
      </c>
      <c r="B353" s="537" t="s">
        <v>3307</v>
      </c>
      <c r="C353" s="517" t="s">
        <v>3838</v>
      </c>
      <c r="D353" s="519" t="s">
        <v>1511</v>
      </c>
      <c r="E353" s="520" t="s">
        <v>3839</v>
      </c>
      <c r="F353" s="113" t="s">
        <v>1830</v>
      </c>
      <c r="G353" s="518" t="s">
        <v>638</v>
      </c>
      <c r="H353" s="534">
        <f>(9500000)/1000*$H$3</f>
        <v>9500</v>
      </c>
      <c r="I353" s="534">
        <f>H353-(0)/1000*$H$3</f>
        <v>9500</v>
      </c>
    </row>
    <row r="354" spans="1:9" ht="156" x14ac:dyDescent="0.2">
      <c r="A354" s="522">
        <v>331</v>
      </c>
      <c r="B354" s="537" t="s">
        <v>3840</v>
      </c>
      <c r="C354" s="520" t="s">
        <v>3841</v>
      </c>
      <c r="D354" s="519" t="s">
        <v>2317</v>
      </c>
      <c r="E354" s="520" t="s">
        <v>2318</v>
      </c>
      <c r="F354" s="113" t="s">
        <v>1830</v>
      </c>
      <c r="G354" s="113" t="s">
        <v>1520</v>
      </c>
      <c r="H354" s="534">
        <f>(30281875+1549529+4350355)/1000*$H$3</f>
        <v>36181.758999999998</v>
      </c>
      <c r="I354" s="534">
        <f>H354-(16236336+246627+3198879+293038+2417165+1340542)/1000*$H$3</f>
        <v>12449.171999999999</v>
      </c>
    </row>
    <row r="355" spans="1:9" ht="168" x14ac:dyDescent="0.2">
      <c r="A355" s="522">
        <v>332</v>
      </c>
      <c r="B355" s="537" t="s">
        <v>3840</v>
      </c>
      <c r="C355" s="520" t="s">
        <v>3842</v>
      </c>
      <c r="D355" s="519" t="s">
        <v>2326</v>
      </c>
      <c r="E355" s="520" t="s">
        <v>3843</v>
      </c>
      <c r="F355" s="113" t="s">
        <v>1830</v>
      </c>
      <c r="G355" s="113" t="s">
        <v>638</v>
      </c>
      <c r="H355" s="534">
        <f>(3066386)/1000*$H$3</f>
        <v>3066.386</v>
      </c>
      <c r="I355" s="534">
        <f>H355-(352983)/1000*$H$3</f>
        <v>2713.4029999999998</v>
      </c>
    </row>
    <row r="356" spans="1:9" ht="156" x14ac:dyDescent="0.2">
      <c r="A356" s="522">
        <v>333</v>
      </c>
      <c r="B356" s="537" t="s">
        <v>3430</v>
      </c>
      <c r="C356" s="520" t="s">
        <v>3844</v>
      </c>
      <c r="D356" s="519" t="s">
        <v>2121</v>
      </c>
      <c r="E356" s="520" t="s">
        <v>2120</v>
      </c>
      <c r="F356" s="113" t="s">
        <v>1830</v>
      </c>
      <c r="G356" s="113" t="s">
        <v>1830</v>
      </c>
      <c r="H356" s="534">
        <f>(3102029)/1000*$H$3</f>
        <v>3102.029</v>
      </c>
      <c r="I356" s="534">
        <f>H356-(0)/1000*$H$3</f>
        <v>3102.029</v>
      </c>
    </row>
    <row r="357" spans="1:9" ht="72" x14ac:dyDescent="0.2">
      <c r="A357" s="522">
        <v>334</v>
      </c>
      <c r="B357" s="537" t="s">
        <v>3337</v>
      </c>
      <c r="C357" s="520" t="s">
        <v>3845</v>
      </c>
      <c r="D357" s="519" t="s">
        <v>1810</v>
      </c>
      <c r="E357" s="520" t="s">
        <v>1833</v>
      </c>
      <c r="F357" s="113" t="s">
        <v>1830</v>
      </c>
      <c r="G357" s="518" t="s">
        <v>1677</v>
      </c>
      <c r="H357" s="534">
        <f>(2729481.36)/1000*$H$3</f>
        <v>2729.4813599999998</v>
      </c>
      <c r="I357" s="534">
        <f>H357-(0)/1000*$H$3</f>
        <v>2729.4813599999998</v>
      </c>
    </row>
    <row r="358" spans="1:9" ht="72" x14ac:dyDescent="0.2">
      <c r="A358" s="522">
        <v>335</v>
      </c>
      <c r="B358" s="537" t="s">
        <v>3337</v>
      </c>
      <c r="C358" s="520" t="s">
        <v>3845</v>
      </c>
      <c r="D358" s="519" t="s">
        <v>1811</v>
      </c>
      <c r="E358" s="520" t="s">
        <v>1834</v>
      </c>
      <c r="F358" s="113" t="s">
        <v>1830</v>
      </c>
      <c r="G358" s="518" t="s">
        <v>1677</v>
      </c>
      <c r="H358" s="534">
        <f>(154408.47)/1000*$H$3</f>
        <v>154.40846999999999</v>
      </c>
      <c r="I358" s="534">
        <f>H358-(0)/1000*$H$3</f>
        <v>154.40846999999999</v>
      </c>
    </row>
    <row r="359" spans="1:9" ht="72" x14ac:dyDescent="0.2">
      <c r="A359" s="522">
        <v>336</v>
      </c>
      <c r="B359" s="537" t="s">
        <v>3337</v>
      </c>
      <c r="C359" s="520" t="s">
        <v>3845</v>
      </c>
      <c r="D359" s="519" t="s">
        <v>1812</v>
      </c>
      <c r="E359" s="520" t="s">
        <v>1835</v>
      </c>
      <c r="F359" s="113" t="s">
        <v>1830</v>
      </c>
      <c r="G359" s="518" t="s">
        <v>1830</v>
      </c>
      <c r="H359" s="534">
        <f>(147000)/1000*$H$3</f>
        <v>147</v>
      </c>
      <c r="I359" s="534">
        <f>H359-(0)/1000*$H$3</f>
        <v>147</v>
      </c>
    </row>
    <row r="360" spans="1:9" ht="120" x14ac:dyDescent="0.2">
      <c r="A360" s="522">
        <v>337</v>
      </c>
      <c r="B360" s="537" t="s">
        <v>3471</v>
      </c>
      <c r="C360" s="520" t="s">
        <v>3752</v>
      </c>
      <c r="D360" s="519" t="s">
        <v>1676</v>
      </c>
      <c r="E360" s="520" t="s">
        <v>3846</v>
      </c>
      <c r="F360" s="113" t="s">
        <v>1677</v>
      </c>
      <c r="G360" s="113" t="s">
        <v>1603</v>
      </c>
      <c r="H360" s="534">
        <f>(2242627.97+94150.82)/1000*$H$3</f>
        <v>2336.7787899999998</v>
      </c>
      <c r="I360" s="534">
        <f>H360-(0)/1000*$H$3</f>
        <v>2336.7787899999998</v>
      </c>
    </row>
    <row r="361" spans="1:9" ht="120" x14ac:dyDescent="0.2">
      <c r="A361" s="522">
        <v>338</v>
      </c>
      <c r="B361" s="537" t="s">
        <v>3847</v>
      </c>
      <c r="C361" s="520" t="s">
        <v>3752</v>
      </c>
      <c r="D361" s="519" t="s">
        <v>1686</v>
      </c>
      <c r="E361" s="520" t="s">
        <v>1681</v>
      </c>
      <c r="F361" s="113" t="s">
        <v>1677</v>
      </c>
      <c r="G361" s="518" t="s">
        <v>3025</v>
      </c>
      <c r="H361" s="534">
        <f>(5500000)/1000*$H$3</f>
        <v>5500</v>
      </c>
      <c r="I361" s="534">
        <f>H361-(800000+67796.61)/1000*$H$3</f>
        <v>4632.2033899999997</v>
      </c>
    </row>
    <row r="362" spans="1:9" ht="120" x14ac:dyDescent="0.2">
      <c r="A362" s="522">
        <v>339</v>
      </c>
      <c r="B362" s="537" t="s">
        <v>3848</v>
      </c>
      <c r="C362" s="520" t="s">
        <v>3752</v>
      </c>
      <c r="D362" s="519" t="s">
        <v>1722</v>
      </c>
      <c r="E362" s="520" t="s">
        <v>1723</v>
      </c>
      <c r="F362" s="113" t="s">
        <v>1677</v>
      </c>
      <c r="G362" s="518" t="s">
        <v>3121</v>
      </c>
      <c r="H362" s="534">
        <f>(7800000)/1000*$H$3</f>
        <v>7800</v>
      </c>
      <c r="I362" s="534">
        <f>H362-(520000+400024)/1000*$H$3</f>
        <v>6879.9759999999997</v>
      </c>
    </row>
    <row r="363" spans="1:9" ht="60" x14ac:dyDescent="0.2">
      <c r="A363" s="522">
        <v>340</v>
      </c>
      <c r="B363" s="537" t="s">
        <v>3849</v>
      </c>
      <c r="C363" s="520" t="s">
        <v>3850</v>
      </c>
      <c r="D363" s="519" t="s">
        <v>2081</v>
      </c>
      <c r="E363" s="520" t="s">
        <v>2080</v>
      </c>
      <c r="F363" s="113" t="s">
        <v>1677</v>
      </c>
      <c r="G363" s="113" t="s">
        <v>1586</v>
      </c>
      <c r="H363" s="534">
        <f>(163186)/1000*$H$3</f>
        <v>163.18600000000001</v>
      </c>
      <c r="I363" s="534">
        <f>H363-(0/1000*$H$3)</f>
        <v>163.18600000000001</v>
      </c>
    </row>
    <row r="364" spans="1:9" ht="60" x14ac:dyDescent="0.2">
      <c r="A364" s="522">
        <v>341</v>
      </c>
      <c r="B364" s="537" t="s">
        <v>2085</v>
      </c>
      <c r="C364" s="520" t="s">
        <v>3851</v>
      </c>
      <c r="D364" s="519" t="s">
        <v>2094</v>
      </c>
      <c r="E364" s="520" t="s">
        <v>2093</v>
      </c>
      <c r="F364" s="113" t="s">
        <v>1677</v>
      </c>
      <c r="G364" s="113" t="s">
        <v>1522</v>
      </c>
      <c r="H364" s="534">
        <f>(20738831)/1000*$H$3</f>
        <v>20738.830999999998</v>
      </c>
      <c r="I364" s="534">
        <f>H364-(743174/1000*$H$3)</f>
        <v>19995.656999999999</v>
      </c>
    </row>
    <row r="365" spans="1:9" ht="72" x14ac:dyDescent="0.2">
      <c r="A365" s="522">
        <v>342</v>
      </c>
      <c r="B365" s="537" t="s">
        <v>3337</v>
      </c>
      <c r="C365" s="520" t="s">
        <v>3852</v>
      </c>
      <c r="D365" s="519" t="s">
        <v>1809</v>
      </c>
      <c r="E365" s="520" t="s">
        <v>1831</v>
      </c>
      <c r="F365" s="113" t="s">
        <v>1677</v>
      </c>
      <c r="G365" s="518" t="s">
        <v>1737</v>
      </c>
      <c r="H365" s="534">
        <f>(5823413)/1000*$H$3</f>
        <v>5823.4129999999996</v>
      </c>
      <c r="I365" s="534">
        <f t="shared" ref="I365:I373" si="16">H365-(0)/1000*$H$3</f>
        <v>5823.4129999999996</v>
      </c>
    </row>
    <row r="366" spans="1:9" ht="72" x14ac:dyDescent="0.2">
      <c r="A366" s="522">
        <v>343</v>
      </c>
      <c r="B366" s="537" t="s">
        <v>3337</v>
      </c>
      <c r="C366" s="520" t="s">
        <v>3852</v>
      </c>
      <c r="D366" s="519" t="s">
        <v>1845</v>
      </c>
      <c r="E366" s="520" t="s">
        <v>1822</v>
      </c>
      <c r="F366" s="113" t="s">
        <v>1677</v>
      </c>
      <c r="G366" s="518" t="s">
        <v>1614</v>
      </c>
      <c r="H366" s="534">
        <f>(560000)/1000*$H$3</f>
        <v>560</v>
      </c>
      <c r="I366" s="534">
        <f t="shared" si="16"/>
        <v>560</v>
      </c>
    </row>
    <row r="367" spans="1:9" ht="72" x14ac:dyDescent="0.2">
      <c r="A367" s="522">
        <v>344</v>
      </c>
      <c r="B367" s="537" t="s">
        <v>3337</v>
      </c>
      <c r="C367" s="520" t="s">
        <v>3852</v>
      </c>
      <c r="D367" s="519" t="s">
        <v>1814</v>
      </c>
      <c r="E367" s="520" t="s">
        <v>1840</v>
      </c>
      <c r="F367" s="113" t="s">
        <v>1677</v>
      </c>
      <c r="G367" s="518" t="s">
        <v>1677</v>
      </c>
      <c r="H367" s="534">
        <f>(912378.03)/1000*$H$3</f>
        <v>912.37803000000008</v>
      </c>
      <c r="I367" s="534">
        <f t="shared" si="16"/>
        <v>912.37803000000008</v>
      </c>
    </row>
    <row r="368" spans="1:9" ht="108" x14ac:dyDescent="0.2">
      <c r="A368" s="522">
        <v>345</v>
      </c>
      <c r="B368" s="537" t="s">
        <v>3302</v>
      </c>
      <c r="C368" s="520" t="s">
        <v>3853</v>
      </c>
      <c r="D368" s="519" t="s">
        <v>2362</v>
      </c>
      <c r="E368" s="520" t="s">
        <v>2359</v>
      </c>
      <c r="F368" s="113" t="s">
        <v>1591</v>
      </c>
      <c r="G368" s="518" t="s">
        <v>1579</v>
      </c>
      <c r="H368" s="534">
        <f>(501341)/1000*$H$3</f>
        <v>501.34100000000001</v>
      </c>
      <c r="I368" s="534">
        <f t="shared" si="16"/>
        <v>501.34100000000001</v>
      </c>
    </row>
    <row r="369" spans="1:9" ht="108" x14ac:dyDescent="0.2">
      <c r="A369" s="522">
        <v>346</v>
      </c>
      <c r="B369" s="537" t="s">
        <v>3302</v>
      </c>
      <c r="C369" s="520" t="s">
        <v>3854</v>
      </c>
      <c r="D369" s="519" t="s">
        <v>2365</v>
      </c>
      <c r="E369" s="520" t="s">
        <v>2366</v>
      </c>
      <c r="F369" s="113" t="s">
        <v>1591</v>
      </c>
      <c r="G369" s="518" t="s">
        <v>1520</v>
      </c>
      <c r="H369" s="534">
        <f>(1711227)/1000*$H$3</f>
        <v>1711.2270000000001</v>
      </c>
      <c r="I369" s="534">
        <f t="shared" si="16"/>
        <v>1711.2270000000001</v>
      </c>
    </row>
    <row r="370" spans="1:9" ht="96" x14ac:dyDescent="0.2">
      <c r="A370" s="522">
        <v>347</v>
      </c>
      <c r="B370" s="537" t="s">
        <v>3728</v>
      </c>
      <c r="C370" s="520" t="s">
        <v>3855</v>
      </c>
      <c r="D370" s="519" t="s">
        <v>1587</v>
      </c>
      <c r="E370" s="521" t="s">
        <v>2983</v>
      </c>
      <c r="F370" s="113" t="s">
        <v>1591</v>
      </c>
      <c r="G370" s="113" t="s">
        <v>872</v>
      </c>
      <c r="H370" s="534">
        <f>(244982)/1000*$H$3</f>
        <v>244.982</v>
      </c>
      <c r="I370" s="534">
        <f t="shared" si="16"/>
        <v>244.982</v>
      </c>
    </row>
    <row r="371" spans="1:9" ht="96" x14ac:dyDescent="0.2">
      <c r="A371" s="522">
        <v>348</v>
      </c>
      <c r="B371" s="537" t="s">
        <v>3728</v>
      </c>
      <c r="C371" s="520" t="s">
        <v>3855</v>
      </c>
      <c r="D371" s="519" t="s">
        <v>1592</v>
      </c>
      <c r="E371" s="521" t="s">
        <v>1598</v>
      </c>
      <c r="F371" s="113" t="s">
        <v>1591</v>
      </c>
      <c r="G371" s="113" t="s">
        <v>1586</v>
      </c>
      <c r="H371" s="534">
        <f>(369904)/1000*$H$3</f>
        <v>369.904</v>
      </c>
      <c r="I371" s="534">
        <f t="shared" si="16"/>
        <v>369.904</v>
      </c>
    </row>
    <row r="372" spans="1:9" ht="84" x14ac:dyDescent="0.2">
      <c r="A372" s="522">
        <v>349</v>
      </c>
      <c r="B372" s="537" t="s">
        <v>3856</v>
      </c>
      <c r="C372" s="521" t="s">
        <v>3857</v>
      </c>
      <c r="D372" s="515" t="s">
        <v>2330</v>
      </c>
      <c r="E372" s="521" t="s">
        <v>2327</v>
      </c>
      <c r="F372" s="113" t="s">
        <v>1591</v>
      </c>
      <c r="G372" s="113" t="s">
        <v>1579</v>
      </c>
      <c r="H372" s="534">
        <f>(500000)/1000*$H$3</f>
        <v>500</v>
      </c>
      <c r="I372" s="534">
        <f t="shared" si="16"/>
        <v>500</v>
      </c>
    </row>
    <row r="373" spans="1:9" ht="132" x14ac:dyDescent="0.2">
      <c r="A373" s="522">
        <v>350</v>
      </c>
      <c r="B373" s="537" t="s">
        <v>3858</v>
      </c>
      <c r="C373" s="520" t="s">
        <v>3859</v>
      </c>
      <c r="D373" s="519" t="s">
        <v>1620</v>
      </c>
      <c r="E373" s="520" t="s">
        <v>1618</v>
      </c>
      <c r="F373" s="113" t="s">
        <v>1591</v>
      </c>
      <c r="G373" s="113" t="s">
        <v>1596</v>
      </c>
      <c r="H373" s="534">
        <f>(1470000)/1000*$H$3</f>
        <v>1470</v>
      </c>
      <c r="I373" s="534">
        <f t="shared" si="16"/>
        <v>1470</v>
      </c>
    </row>
    <row r="374" spans="1:9" ht="192" x14ac:dyDescent="0.2">
      <c r="A374" s="522">
        <v>351</v>
      </c>
      <c r="B374" s="537" t="s">
        <v>3860</v>
      </c>
      <c r="C374" s="520" t="s">
        <v>3861</v>
      </c>
      <c r="D374" s="519" t="s">
        <v>2297</v>
      </c>
      <c r="E374" s="520" t="s">
        <v>2294</v>
      </c>
      <c r="F374" s="113" t="s">
        <v>1591</v>
      </c>
      <c r="G374" s="113" t="s">
        <v>1586</v>
      </c>
      <c r="H374" s="534">
        <f>(36915155/1000*$H$3)</f>
        <v>36915.154999999999</v>
      </c>
      <c r="I374" s="534">
        <f>H374-(3293186)/1000*$H$3</f>
        <v>33621.968999999997</v>
      </c>
    </row>
    <row r="375" spans="1:9" ht="120" x14ac:dyDescent="0.2">
      <c r="A375" s="522">
        <v>352</v>
      </c>
      <c r="B375" s="537" t="s">
        <v>3862</v>
      </c>
      <c r="C375" s="520" t="s">
        <v>3863</v>
      </c>
      <c r="D375" s="519" t="s">
        <v>2390</v>
      </c>
      <c r="E375" s="520" t="s">
        <v>3864</v>
      </c>
      <c r="F375" s="113" t="s">
        <v>1591</v>
      </c>
      <c r="G375" s="113" t="s">
        <v>638</v>
      </c>
      <c r="H375" s="534">
        <f>(14133297/1000*$H$3)</f>
        <v>14133.297</v>
      </c>
      <c r="I375" s="534">
        <f>H375-(2129846+758164+294572)/1000*$H$3</f>
        <v>10950.715</v>
      </c>
    </row>
    <row r="376" spans="1:9" ht="96" x14ac:dyDescent="0.2">
      <c r="A376" s="522">
        <v>353</v>
      </c>
      <c r="B376" s="537" t="s">
        <v>3865</v>
      </c>
      <c r="C376" s="520" t="s">
        <v>3866</v>
      </c>
      <c r="D376" s="519" t="s">
        <v>1995</v>
      </c>
      <c r="E376" s="520" t="s">
        <v>2962</v>
      </c>
      <c r="F376" s="113" t="s">
        <v>1591</v>
      </c>
      <c r="G376" s="113" t="s">
        <v>1614</v>
      </c>
      <c r="H376" s="534">
        <f>(7952853)/1000*$H$3</f>
        <v>7952.8530000000001</v>
      </c>
      <c r="I376" s="534">
        <f>H376-(150189)/1000*$H$3</f>
        <v>7802.6639999999998</v>
      </c>
    </row>
    <row r="377" spans="1:9" ht="72" x14ac:dyDescent="0.2">
      <c r="A377" s="522">
        <v>354</v>
      </c>
      <c r="B377" s="537" t="s">
        <v>3337</v>
      </c>
      <c r="C377" s="520" t="s">
        <v>3867</v>
      </c>
      <c r="D377" s="519" t="s">
        <v>1815</v>
      </c>
      <c r="E377" s="520" t="s">
        <v>1841</v>
      </c>
      <c r="F377" s="113" t="s">
        <v>1591</v>
      </c>
      <c r="G377" s="518" t="s">
        <v>872</v>
      </c>
      <c r="H377" s="534">
        <f>(116198.59)/1000*$H$3</f>
        <v>116.19859</v>
      </c>
      <c r="I377" s="534">
        <f t="shared" ref="I377:I383" si="17">H377-(0)/1000*$H$3</f>
        <v>116.19859</v>
      </c>
    </row>
    <row r="378" spans="1:9" ht="144" x14ac:dyDescent="0.2">
      <c r="A378" s="522">
        <v>355</v>
      </c>
      <c r="B378" s="537" t="s">
        <v>3337</v>
      </c>
      <c r="C378" s="520" t="s">
        <v>3867</v>
      </c>
      <c r="D378" s="519" t="s">
        <v>1846</v>
      </c>
      <c r="E378" s="520" t="s">
        <v>1843</v>
      </c>
      <c r="F378" s="113" t="s">
        <v>1591</v>
      </c>
      <c r="G378" s="518" t="s">
        <v>872</v>
      </c>
      <c r="H378" s="534">
        <f>(994291.84)/1000*$H$3</f>
        <v>994.29183999999998</v>
      </c>
      <c r="I378" s="534">
        <f t="shared" si="17"/>
        <v>994.29183999999998</v>
      </c>
    </row>
    <row r="379" spans="1:9" ht="156" x14ac:dyDescent="0.2">
      <c r="A379" s="522">
        <v>356</v>
      </c>
      <c r="B379" s="537" t="s">
        <v>3337</v>
      </c>
      <c r="C379" s="520" t="s">
        <v>3867</v>
      </c>
      <c r="D379" s="519" t="s">
        <v>1816</v>
      </c>
      <c r="E379" s="520" t="s">
        <v>3868</v>
      </c>
      <c r="F379" s="113" t="s">
        <v>1591</v>
      </c>
      <c r="G379" s="518" t="s">
        <v>1520</v>
      </c>
      <c r="H379" s="534">
        <f>(6651505.78)/1000*$H$3</f>
        <v>6651.5057800000004</v>
      </c>
      <c r="I379" s="534">
        <f t="shared" si="17"/>
        <v>6651.5057800000004</v>
      </c>
    </row>
    <row r="380" spans="1:9" ht="72" x14ac:dyDescent="0.2">
      <c r="A380" s="522">
        <v>357</v>
      </c>
      <c r="B380" s="537" t="s">
        <v>3337</v>
      </c>
      <c r="C380" s="520" t="s">
        <v>3867</v>
      </c>
      <c r="D380" s="519" t="s">
        <v>1817</v>
      </c>
      <c r="E380" s="520" t="s">
        <v>1824</v>
      </c>
      <c r="F380" s="113" t="s">
        <v>1591</v>
      </c>
      <c r="G380" s="518" t="s">
        <v>872</v>
      </c>
      <c r="H380" s="534">
        <f>(906139.83)/1000*$H$3</f>
        <v>906.13982999999996</v>
      </c>
      <c r="I380" s="534">
        <f t="shared" si="17"/>
        <v>906.13982999999996</v>
      </c>
    </row>
    <row r="381" spans="1:9" ht="72" x14ac:dyDescent="0.2">
      <c r="A381" s="522">
        <v>358</v>
      </c>
      <c r="B381" s="537" t="s">
        <v>3337</v>
      </c>
      <c r="C381" s="520" t="s">
        <v>3867</v>
      </c>
      <c r="D381" s="519" t="s">
        <v>1818</v>
      </c>
      <c r="E381" s="520" t="s">
        <v>1825</v>
      </c>
      <c r="F381" s="113" t="s">
        <v>1591</v>
      </c>
      <c r="G381" s="518" t="s">
        <v>872</v>
      </c>
      <c r="H381" s="534">
        <f>(314097.46)/1000*$H$3</f>
        <v>314.09746000000001</v>
      </c>
      <c r="I381" s="534">
        <f t="shared" si="17"/>
        <v>314.09746000000001</v>
      </c>
    </row>
    <row r="382" spans="1:9" ht="60" x14ac:dyDescent="0.2">
      <c r="A382" s="522">
        <v>359</v>
      </c>
      <c r="B382" s="537" t="s">
        <v>3432</v>
      </c>
      <c r="C382" s="517" t="s">
        <v>3869</v>
      </c>
      <c r="D382" s="516" t="s">
        <v>2188</v>
      </c>
      <c r="E382" s="520" t="s">
        <v>2190</v>
      </c>
      <c r="F382" s="113" t="s">
        <v>1591</v>
      </c>
      <c r="G382" s="113" t="s">
        <v>1522</v>
      </c>
      <c r="H382" s="534">
        <f>(1303585)/1000*$H$3</f>
        <v>1303.585</v>
      </c>
      <c r="I382" s="534">
        <f t="shared" si="17"/>
        <v>1303.585</v>
      </c>
    </row>
    <row r="383" spans="1:9" ht="96" x14ac:dyDescent="0.2">
      <c r="A383" s="522">
        <v>360</v>
      </c>
      <c r="B383" s="537" t="s">
        <v>3307</v>
      </c>
      <c r="C383" s="517" t="s">
        <v>3870</v>
      </c>
      <c r="D383" s="519" t="s">
        <v>1516</v>
      </c>
      <c r="E383" s="520" t="s">
        <v>3871</v>
      </c>
      <c r="F383" s="113" t="s">
        <v>872</v>
      </c>
      <c r="G383" s="518" t="s">
        <v>1520</v>
      </c>
      <c r="H383" s="534">
        <f>(1085000)/1000*$H$3</f>
        <v>1085</v>
      </c>
      <c r="I383" s="534">
        <f t="shared" si="17"/>
        <v>1085</v>
      </c>
    </row>
    <row r="384" spans="1:9" ht="84" x14ac:dyDescent="0.2">
      <c r="A384" s="522">
        <v>361</v>
      </c>
      <c r="B384" s="537" t="s">
        <v>3302</v>
      </c>
      <c r="C384" s="520" t="s">
        <v>3872</v>
      </c>
      <c r="D384" s="519" t="s">
        <v>1979</v>
      </c>
      <c r="E384" s="521" t="s">
        <v>3873</v>
      </c>
      <c r="F384" s="113" t="s">
        <v>872</v>
      </c>
      <c r="G384" s="518" t="s">
        <v>1579</v>
      </c>
      <c r="H384" s="534">
        <f>(2237655)/1000*$H$3</f>
        <v>2237.6550000000002</v>
      </c>
      <c r="I384" s="534">
        <f>H384-(952470.43)/1000*$H$3</f>
        <v>1285.1845700000001</v>
      </c>
    </row>
    <row r="385" spans="1:9" ht="84" x14ac:dyDescent="0.2">
      <c r="A385" s="522">
        <v>362</v>
      </c>
      <c r="B385" s="537" t="s">
        <v>3302</v>
      </c>
      <c r="C385" s="520" t="s">
        <v>3874</v>
      </c>
      <c r="D385" s="519" t="s">
        <v>1986</v>
      </c>
      <c r="E385" s="521" t="s">
        <v>1987</v>
      </c>
      <c r="F385" s="113" t="s">
        <v>872</v>
      </c>
      <c r="G385" s="113" t="s">
        <v>638</v>
      </c>
      <c r="H385" s="534">
        <f>(508398.86)/1000*$H$3</f>
        <v>508.39886000000001</v>
      </c>
      <c r="I385" s="534">
        <f>H385-(0)/1000*$H$3</f>
        <v>508.39886000000001</v>
      </c>
    </row>
    <row r="386" spans="1:9" ht="96" x14ac:dyDescent="0.2">
      <c r="A386" s="522">
        <v>363</v>
      </c>
      <c r="B386" s="537" t="s">
        <v>3418</v>
      </c>
      <c r="C386" s="520" t="s">
        <v>3682</v>
      </c>
      <c r="D386" s="519" t="s">
        <v>1572</v>
      </c>
      <c r="E386" s="521" t="s">
        <v>1574</v>
      </c>
      <c r="F386" s="113" t="s">
        <v>872</v>
      </c>
      <c r="G386" s="113" t="s">
        <v>1575</v>
      </c>
      <c r="H386" s="534">
        <f>(744462)/1000*$H$3</f>
        <v>744.46199999999999</v>
      </c>
      <c r="I386" s="534">
        <f>H386-(0)/1000*$H$3</f>
        <v>744.46199999999999</v>
      </c>
    </row>
    <row r="387" spans="1:9" ht="96" x14ac:dyDescent="0.2">
      <c r="A387" s="522">
        <v>364</v>
      </c>
      <c r="B387" s="537" t="s">
        <v>3418</v>
      </c>
      <c r="C387" s="520" t="s">
        <v>3682</v>
      </c>
      <c r="D387" s="519" t="s">
        <v>1576</v>
      </c>
      <c r="E387" s="521" t="s">
        <v>1577</v>
      </c>
      <c r="F387" s="113" t="s">
        <v>872</v>
      </c>
      <c r="G387" s="113" t="s">
        <v>1579</v>
      </c>
      <c r="H387" s="534">
        <f>(125860)/1000*$H$3</f>
        <v>125.86</v>
      </c>
      <c r="I387" s="534">
        <f>H387-(0)/1000*$H$3</f>
        <v>125.86</v>
      </c>
    </row>
    <row r="388" spans="1:9" ht="132" x14ac:dyDescent="0.2">
      <c r="A388" s="522">
        <v>365</v>
      </c>
      <c r="B388" s="539" t="s">
        <v>3514</v>
      </c>
      <c r="C388" s="520" t="s">
        <v>3875</v>
      </c>
      <c r="D388" s="519" t="s">
        <v>1622</v>
      </c>
      <c r="E388" s="520" t="s">
        <v>3876</v>
      </c>
      <c r="F388" s="113" t="s">
        <v>872</v>
      </c>
      <c r="G388" s="113" t="s">
        <v>1586</v>
      </c>
      <c r="H388" s="534">
        <f>(2200000)/1000*$H$3</f>
        <v>2200</v>
      </c>
      <c r="I388" s="534">
        <f>H388-(0)/1000*$H$3</f>
        <v>2200</v>
      </c>
    </row>
    <row r="389" spans="1:9" ht="144" x14ac:dyDescent="0.2">
      <c r="A389" s="522">
        <v>366</v>
      </c>
      <c r="B389" s="537" t="s">
        <v>3798</v>
      </c>
      <c r="C389" s="520" t="s">
        <v>3877</v>
      </c>
      <c r="D389" s="519" t="s">
        <v>1653</v>
      </c>
      <c r="E389" s="520" t="s">
        <v>3878</v>
      </c>
      <c r="F389" s="113" t="s">
        <v>872</v>
      </c>
      <c r="G389" s="113" t="s">
        <v>638</v>
      </c>
      <c r="H389" s="534">
        <f>(861586.51)/1000*$H$3</f>
        <v>861.58650999999998</v>
      </c>
      <c r="I389" s="534">
        <f>H389-(0)/1000*$H$3</f>
        <v>861.58650999999998</v>
      </c>
    </row>
    <row r="390" spans="1:9" ht="156" x14ac:dyDescent="0.2">
      <c r="A390" s="522">
        <v>367</v>
      </c>
      <c r="B390" s="537" t="s">
        <v>3879</v>
      </c>
      <c r="C390" s="520" t="s">
        <v>3752</v>
      </c>
      <c r="D390" s="519" t="s">
        <v>1687</v>
      </c>
      <c r="E390" s="520" t="s">
        <v>3880</v>
      </c>
      <c r="F390" s="113" t="s">
        <v>872</v>
      </c>
      <c r="G390" s="518" t="s">
        <v>1643</v>
      </c>
      <c r="H390" s="534">
        <f>(482118.81+369191.02)/1000*$H$3</f>
        <v>851.30983000000003</v>
      </c>
      <c r="I390" s="534">
        <f>H390-(220506.83)/1000*$H$3</f>
        <v>630.80300000000011</v>
      </c>
    </row>
    <row r="391" spans="1:9" ht="120" x14ac:dyDescent="0.2">
      <c r="A391" s="522">
        <v>368</v>
      </c>
      <c r="B391" s="537" t="s">
        <v>3883</v>
      </c>
      <c r="C391" s="520" t="s">
        <v>3752</v>
      </c>
      <c r="D391" s="519" t="s">
        <v>1693</v>
      </c>
      <c r="E391" s="520" t="s">
        <v>1711</v>
      </c>
      <c r="F391" s="113" t="s">
        <v>872</v>
      </c>
      <c r="G391" s="518" t="s">
        <v>3275</v>
      </c>
      <c r="H391" s="534">
        <f>(3900000)/1000*$H$3</f>
        <v>3900</v>
      </c>
      <c r="I391" s="534">
        <f>H391-(59000+508474.58)/1000*$H$3</f>
        <v>3332.5254199999999</v>
      </c>
    </row>
    <row r="392" spans="1:9" ht="192" x14ac:dyDescent="0.2">
      <c r="A392" s="522">
        <v>369</v>
      </c>
      <c r="B392" s="537" t="s">
        <v>3881</v>
      </c>
      <c r="C392" s="520" t="s">
        <v>3882</v>
      </c>
      <c r="D392" s="519" t="s">
        <v>2065</v>
      </c>
      <c r="E392" s="520" t="s">
        <v>2066</v>
      </c>
      <c r="F392" s="113" t="s">
        <v>872</v>
      </c>
      <c r="G392" s="518" t="s">
        <v>1526</v>
      </c>
      <c r="H392" s="534">
        <f>(2893398)/1000*$H$3</f>
        <v>2893.3980000000001</v>
      </c>
      <c r="I392" s="534">
        <f>H392-(0)/1000*$H$3</f>
        <v>2893.3980000000001</v>
      </c>
    </row>
    <row r="393" spans="1:9" ht="96" x14ac:dyDescent="0.2">
      <c r="A393" s="522">
        <v>370</v>
      </c>
      <c r="B393" s="537" t="s">
        <v>3860</v>
      </c>
      <c r="C393" s="520" t="s">
        <v>3884</v>
      </c>
      <c r="D393" s="519" t="s">
        <v>2301</v>
      </c>
      <c r="E393" s="520" t="s">
        <v>3885</v>
      </c>
      <c r="F393" s="113" t="s">
        <v>872</v>
      </c>
      <c r="G393" s="113" t="s">
        <v>638</v>
      </c>
      <c r="H393" s="534">
        <f>(1940000/1000*$H$3)</f>
        <v>1940</v>
      </c>
      <c r="I393" s="534">
        <f>H393-(0)/1000*$H$3</f>
        <v>1940</v>
      </c>
    </row>
    <row r="394" spans="1:9" ht="180.75" customHeight="1" x14ac:dyDescent="0.2">
      <c r="A394" s="522">
        <v>371</v>
      </c>
      <c r="B394" s="537" t="s">
        <v>3886</v>
      </c>
      <c r="C394" s="520" t="s">
        <v>3887</v>
      </c>
      <c r="D394" s="519" t="s">
        <v>2310</v>
      </c>
      <c r="E394" s="520" t="s">
        <v>2311</v>
      </c>
      <c r="F394" s="113" t="s">
        <v>872</v>
      </c>
      <c r="G394" s="113" t="s">
        <v>872</v>
      </c>
      <c r="H394" s="534">
        <f>(1300000/1000*$H$3)</f>
        <v>1300</v>
      </c>
      <c r="I394" s="534">
        <f>H394-(0)/1000*$H$3</f>
        <v>1300</v>
      </c>
    </row>
    <row r="395" spans="1:9" ht="60" x14ac:dyDescent="0.2">
      <c r="A395" s="522">
        <v>372</v>
      </c>
      <c r="B395" s="537" t="s">
        <v>3849</v>
      </c>
      <c r="C395" s="520" t="s">
        <v>3889</v>
      </c>
      <c r="D395" s="519" t="s">
        <v>2083</v>
      </c>
      <c r="E395" s="520" t="s">
        <v>2082</v>
      </c>
      <c r="F395" s="113" t="s">
        <v>872</v>
      </c>
      <c r="G395" s="113" t="s">
        <v>1586</v>
      </c>
      <c r="H395" s="534">
        <f>(252542)/1000*$H$3</f>
        <v>252.542</v>
      </c>
      <c r="I395" s="534">
        <f>H395-(0/1000*$H$3)</f>
        <v>252.542</v>
      </c>
    </row>
    <row r="396" spans="1:9" ht="60" x14ac:dyDescent="0.2">
      <c r="A396" s="522">
        <v>373</v>
      </c>
      <c r="B396" s="537" t="s">
        <v>3888</v>
      </c>
      <c r="C396" s="520" t="s">
        <v>3889</v>
      </c>
      <c r="D396" s="519" t="s">
        <v>2109</v>
      </c>
      <c r="E396" s="520" t="s">
        <v>3890</v>
      </c>
      <c r="F396" s="113" t="s">
        <v>872</v>
      </c>
      <c r="G396" s="113" t="s">
        <v>1944</v>
      </c>
      <c r="H396" s="534">
        <f>(4859152)/1000*$H$3</f>
        <v>4859.152</v>
      </c>
      <c r="I396" s="534">
        <f>H396-(671500+59322+508474+118500+220000)/1000*$H$3</f>
        <v>3281.3559999999998</v>
      </c>
    </row>
    <row r="397" spans="1:9" ht="96" x14ac:dyDescent="0.2">
      <c r="A397" s="522">
        <v>374</v>
      </c>
      <c r="B397" s="537" t="s">
        <v>3625</v>
      </c>
      <c r="C397" s="520" t="s">
        <v>3891</v>
      </c>
      <c r="D397" s="519" t="s">
        <v>2006</v>
      </c>
      <c r="E397" s="520" t="s">
        <v>2007</v>
      </c>
      <c r="F397" s="113" t="s">
        <v>872</v>
      </c>
      <c r="G397" s="113" t="s">
        <v>1520</v>
      </c>
      <c r="H397" s="534">
        <f>(12650000)/1000*$H$3</f>
        <v>12650</v>
      </c>
      <c r="I397" s="534">
        <f>H397-(0)/1000*$H$3</f>
        <v>12650</v>
      </c>
    </row>
    <row r="398" spans="1:9" ht="72" x14ac:dyDescent="0.2">
      <c r="A398" s="522">
        <v>375</v>
      </c>
      <c r="B398" s="537" t="s">
        <v>3337</v>
      </c>
      <c r="C398" s="520" t="s">
        <v>3852</v>
      </c>
      <c r="D398" s="519" t="s">
        <v>1819</v>
      </c>
      <c r="E398" s="520" t="s">
        <v>1826</v>
      </c>
      <c r="F398" s="113" t="s">
        <v>872</v>
      </c>
      <c r="G398" s="518" t="s">
        <v>1575</v>
      </c>
      <c r="H398" s="534">
        <f>(1881434)/1000*$H$3</f>
        <v>1881.434</v>
      </c>
      <c r="I398" s="534">
        <f>H398-(0)/1000*$H$3</f>
        <v>1881.434</v>
      </c>
    </row>
    <row r="399" spans="1:9" ht="120" x14ac:dyDescent="0.2">
      <c r="A399" s="522">
        <v>376</v>
      </c>
      <c r="B399" s="537" t="s">
        <v>3413</v>
      </c>
      <c r="C399" s="520" t="s">
        <v>3752</v>
      </c>
      <c r="D399" s="519" t="s">
        <v>1694</v>
      </c>
      <c r="E399" s="520" t="s">
        <v>3892</v>
      </c>
      <c r="F399" s="113" t="s">
        <v>1586</v>
      </c>
      <c r="G399" s="518" t="s">
        <v>3027</v>
      </c>
      <c r="H399" s="534">
        <f>(7819558.01)/1000*$H$3</f>
        <v>7819.5580099999997</v>
      </c>
      <c r="I399" s="534">
        <f>H399-(0)/1000*$H$3</f>
        <v>7819.5580099999997</v>
      </c>
    </row>
    <row r="400" spans="1:9" ht="108" x14ac:dyDescent="0.2">
      <c r="A400" s="522">
        <v>377</v>
      </c>
      <c r="B400" s="537" t="s">
        <v>3893</v>
      </c>
      <c r="C400" s="520" t="s">
        <v>3894</v>
      </c>
      <c r="D400" s="519" t="s">
        <v>1729</v>
      </c>
      <c r="E400" s="520" t="s">
        <v>1732</v>
      </c>
      <c r="F400" s="113" t="s">
        <v>1586</v>
      </c>
      <c r="G400" s="113" t="s">
        <v>638</v>
      </c>
      <c r="H400" s="534">
        <f>(1990000)/1000*$H$3</f>
        <v>1990</v>
      </c>
      <c r="I400" s="534">
        <f>H400-(0)/1000*$H$3</f>
        <v>1990</v>
      </c>
    </row>
    <row r="401" spans="1:9" ht="108" x14ac:dyDescent="0.2">
      <c r="A401" s="522">
        <v>378</v>
      </c>
      <c r="B401" s="537" t="s">
        <v>3895</v>
      </c>
      <c r="C401" s="520" t="s">
        <v>3896</v>
      </c>
      <c r="D401" s="519" t="s">
        <v>2228</v>
      </c>
      <c r="E401" s="520" t="s">
        <v>2229</v>
      </c>
      <c r="F401" s="113" t="s">
        <v>1586</v>
      </c>
      <c r="G401" s="113" t="s">
        <v>1520</v>
      </c>
      <c r="H401" s="534">
        <f>(662605.23)/1000*$H$3</f>
        <v>662.60523000000001</v>
      </c>
      <c r="I401" s="534">
        <f>H401-(0/1000*$H$3)</f>
        <v>662.60523000000001</v>
      </c>
    </row>
    <row r="402" spans="1:9" ht="60" x14ac:dyDescent="0.2">
      <c r="A402" s="522">
        <v>379</v>
      </c>
      <c r="B402" s="537" t="s">
        <v>3897</v>
      </c>
      <c r="C402" s="520" t="s">
        <v>3898</v>
      </c>
      <c r="D402" s="519" t="s">
        <v>2010</v>
      </c>
      <c r="E402" s="520" t="s">
        <v>3899</v>
      </c>
      <c r="F402" s="113" t="s">
        <v>1586</v>
      </c>
      <c r="G402" s="113" t="s">
        <v>1520</v>
      </c>
      <c r="H402" s="534">
        <f>(1446689.11)/1000*$H$3</f>
        <v>1446.68911</v>
      </c>
      <c r="I402" s="534">
        <f>H402-(0)/1000*$H$3</f>
        <v>1446.68911</v>
      </c>
    </row>
    <row r="403" spans="1:9" ht="60" x14ac:dyDescent="0.2">
      <c r="A403" s="522">
        <v>380</v>
      </c>
      <c r="B403" s="537" t="s">
        <v>3756</v>
      </c>
      <c r="C403" s="520" t="s">
        <v>3900</v>
      </c>
      <c r="D403" s="519" t="s">
        <v>2023</v>
      </c>
      <c r="E403" s="520" t="s">
        <v>2021</v>
      </c>
      <c r="F403" s="113" t="s">
        <v>1586</v>
      </c>
      <c r="G403" s="113" t="s">
        <v>1614</v>
      </c>
      <c r="H403" s="534">
        <f>(11354320.27+2332029.35)/1000*$H$3</f>
        <v>13686.349619999999</v>
      </c>
      <c r="I403" s="534">
        <f>H403-(470325.95+64964+28594)/1000*$H$3</f>
        <v>13122.46567</v>
      </c>
    </row>
    <row r="404" spans="1:9" ht="204" x14ac:dyDescent="0.2">
      <c r="A404" s="522">
        <v>381</v>
      </c>
      <c r="B404" s="537" t="s">
        <v>3337</v>
      </c>
      <c r="C404" s="520" t="s">
        <v>3901</v>
      </c>
      <c r="D404" s="519" t="s">
        <v>1820</v>
      </c>
      <c r="E404" s="520" t="s">
        <v>1850</v>
      </c>
      <c r="F404" s="113" t="s">
        <v>1586</v>
      </c>
      <c r="G404" s="518" t="s">
        <v>1643</v>
      </c>
      <c r="H404" s="534">
        <f>(2234816.03)/1000*$H$3</f>
        <v>2234.81603</v>
      </c>
      <c r="I404" s="534">
        <f>H404-(0)/1000*$H$3</f>
        <v>2234.81603</v>
      </c>
    </row>
    <row r="405" spans="1:9" ht="132" x14ac:dyDescent="0.2">
      <c r="A405" s="522">
        <v>382</v>
      </c>
      <c r="B405" s="537" t="s">
        <v>3684</v>
      </c>
      <c r="C405" s="520" t="s">
        <v>3902</v>
      </c>
      <c r="D405" s="519" t="s">
        <v>2985</v>
      </c>
      <c r="E405" s="520" t="s">
        <v>2984</v>
      </c>
      <c r="F405" s="113" t="s">
        <v>1579</v>
      </c>
      <c r="G405" s="113" t="s">
        <v>2245</v>
      </c>
      <c r="H405" s="534">
        <f>3400000*$I$3/1000</f>
        <v>3400</v>
      </c>
      <c r="I405" s="534">
        <f>H405-(0)/1000*$I$3</f>
        <v>3400</v>
      </c>
    </row>
    <row r="406" spans="1:9" ht="120" x14ac:dyDescent="0.2">
      <c r="A406" s="522">
        <v>383</v>
      </c>
      <c r="B406" s="537" t="s">
        <v>3903</v>
      </c>
      <c r="C406" s="520" t="s">
        <v>3752</v>
      </c>
      <c r="D406" s="519" t="s">
        <v>1700</v>
      </c>
      <c r="E406" s="520" t="s">
        <v>1698</v>
      </c>
      <c r="F406" s="113" t="s">
        <v>1579</v>
      </c>
      <c r="G406" s="518" t="s">
        <v>3027</v>
      </c>
      <c r="H406" s="534">
        <f>(6964214.86)/1000*$H$3</f>
        <v>6964.21486</v>
      </c>
      <c r="I406" s="534">
        <f>H406-(800000+59322.03+170000)/1000*$H$3</f>
        <v>5934.8928299999998</v>
      </c>
    </row>
    <row r="407" spans="1:9" ht="156" x14ac:dyDescent="0.2">
      <c r="A407" s="522">
        <v>384</v>
      </c>
      <c r="B407" s="537" t="s">
        <v>3840</v>
      </c>
      <c r="C407" s="520" t="s">
        <v>3841</v>
      </c>
      <c r="D407" s="519" t="s">
        <v>2322</v>
      </c>
      <c r="E407" s="520" t="s">
        <v>2318</v>
      </c>
      <c r="F407" s="113" t="s">
        <v>1579</v>
      </c>
      <c r="G407" s="113" t="s">
        <v>1575</v>
      </c>
      <c r="H407" s="534">
        <f>(941357)/1000*$H$3</f>
        <v>941.35699999999997</v>
      </c>
      <c r="I407" s="534">
        <f>H407-(0)/1000*$H$3</f>
        <v>941.35699999999997</v>
      </c>
    </row>
    <row r="408" spans="1:9" ht="132" x14ac:dyDescent="0.2">
      <c r="A408" s="522">
        <v>385</v>
      </c>
      <c r="B408" s="537" t="s">
        <v>3886</v>
      </c>
      <c r="C408" s="520" t="s">
        <v>4246</v>
      </c>
      <c r="D408" s="519" t="s">
        <v>2355</v>
      </c>
      <c r="E408" s="520" t="s">
        <v>2356</v>
      </c>
      <c r="F408" s="113" t="s">
        <v>1579</v>
      </c>
      <c r="G408" s="113" t="s">
        <v>1520</v>
      </c>
      <c r="H408" s="534">
        <f>(411122/1000*$H$3)</f>
        <v>411.12200000000001</v>
      </c>
      <c r="I408" s="534">
        <f>H408-(0)/1000*$H$3</f>
        <v>411.12200000000001</v>
      </c>
    </row>
    <row r="409" spans="1:9" ht="60" x14ac:dyDescent="0.2">
      <c r="A409" s="522">
        <v>386</v>
      </c>
      <c r="B409" s="537" t="s">
        <v>3849</v>
      </c>
      <c r="C409" s="520" t="s">
        <v>3904</v>
      </c>
      <c r="D409" s="519" t="s">
        <v>2084</v>
      </c>
      <c r="E409" s="520" t="s">
        <v>2082</v>
      </c>
      <c r="F409" s="113" t="s">
        <v>1579</v>
      </c>
      <c r="G409" s="113" t="s">
        <v>1520</v>
      </c>
      <c r="H409" s="534">
        <f>(200000)/1000*$H$3</f>
        <v>200</v>
      </c>
      <c r="I409" s="534">
        <f>H409-(0/1000*$H$3)</f>
        <v>200</v>
      </c>
    </row>
    <row r="410" spans="1:9" ht="240" x14ac:dyDescent="0.2">
      <c r="A410" s="522">
        <v>387</v>
      </c>
      <c r="B410" s="537" t="s">
        <v>3905</v>
      </c>
      <c r="C410" s="520" t="s">
        <v>3906</v>
      </c>
      <c r="D410" s="519" t="s">
        <v>2389</v>
      </c>
      <c r="E410" s="520" t="s">
        <v>2387</v>
      </c>
      <c r="F410" s="113" t="s">
        <v>1579</v>
      </c>
      <c r="G410" s="113" t="s">
        <v>1614</v>
      </c>
      <c r="H410" s="534">
        <f>(40184996+21073300)/1000*$H$3</f>
        <v>61258.296000000002</v>
      </c>
      <c r="I410" s="534">
        <f>H410-(654178+339582+750000+14364996+3661200+750000+350000+3457288)/1000*$H$3</f>
        <v>36931.052000000003</v>
      </c>
    </row>
    <row r="411" spans="1:9" ht="84" x14ac:dyDescent="0.2">
      <c r="A411" s="522">
        <v>388</v>
      </c>
      <c r="B411" s="537" t="s">
        <v>2085</v>
      </c>
      <c r="C411" s="520" t="s">
        <v>3907</v>
      </c>
      <c r="D411" s="519" t="s">
        <v>2113</v>
      </c>
      <c r="E411" s="520" t="s">
        <v>2107</v>
      </c>
      <c r="F411" s="113" t="s">
        <v>1579</v>
      </c>
      <c r="G411" s="113" t="s">
        <v>1575</v>
      </c>
      <c r="H411" s="534">
        <f>(389830.51)/1000*$H$3</f>
        <v>389.83051</v>
      </c>
      <c r="I411" s="534">
        <f>H411-(80000/1000*$H$3)</f>
        <v>309.83051</v>
      </c>
    </row>
    <row r="412" spans="1:9" ht="60" x14ac:dyDescent="0.2">
      <c r="A412" s="522">
        <v>389</v>
      </c>
      <c r="B412" s="537" t="s">
        <v>2085</v>
      </c>
      <c r="C412" s="520" t="s">
        <v>3907</v>
      </c>
      <c r="D412" s="519" t="s">
        <v>2112</v>
      </c>
      <c r="E412" s="520" t="s">
        <v>2108</v>
      </c>
      <c r="F412" s="113" t="s">
        <v>1579</v>
      </c>
      <c r="G412" s="113" t="s">
        <v>1575</v>
      </c>
      <c r="H412" s="534">
        <f>(419492)/1000*$H$3</f>
        <v>419.49200000000002</v>
      </c>
      <c r="I412" s="534">
        <f>H412-(70000/1000*$H$3)</f>
        <v>349.49200000000002</v>
      </c>
    </row>
    <row r="413" spans="1:9" ht="96" x14ac:dyDescent="0.2">
      <c r="A413" s="522">
        <v>390</v>
      </c>
      <c r="B413" s="537" t="s">
        <v>3561</v>
      </c>
      <c r="C413" s="520" t="s">
        <v>3908</v>
      </c>
      <c r="D413" s="519" t="s">
        <v>1998</v>
      </c>
      <c r="E413" s="520" t="s">
        <v>2002</v>
      </c>
      <c r="F413" s="113" t="s">
        <v>1579</v>
      </c>
      <c r="G413" s="518" t="s">
        <v>3106</v>
      </c>
      <c r="H413" s="534">
        <f>(18346528.84)/1000*$H$3</f>
        <v>18346.528839999999</v>
      </c>
      <c r="I413" s="534">
        <f>H413-(4077298.78+3772380)/1000*$H$3</f>
        <v>10496.850060000001</v>
      </c>
    </row>
    <row r="414" spans="1:9" ht="60" x14ac:dyDescent="0.2">
      <c r="A414" s="522">
        <v>391</v>
      </c>
      <c r="B414" s="537" t="s">
        <v>3432</v>
      </c>
      <c r="C414" s="517" t="s">
        <v>3909</v>
      </c>
      <c r="D414" s="516" t="s">
        <v>2192</v>
      </c>
      <c r="E414" s="520" t="s">
        <v>2193</v>
      </c>
      <c r="F414" s="113" t="s">
        <v>1579</v>
      </c>
      <c r="G414" s="113" t="s">
        <v>638</v>
      </c>
      <c r="H414" s="534">
        <f>(730040)/1000*$H$3</f>
        <v>730.04</v>
      </c>
      <c r="I414" s="534">
        <f>H414-(0)/1000*$H$3</f>
        <v>730.04</v>
      </c>
    </row>
    <row r="415" spans="1:9" ht="132" x14ac:dyDescent="0.2">
      <c r="A415" s="522">
        <v>392</v>
      </c>
      <c r="B415" s="537" t="s">
        <v>3910</v>
      </c>
      <c r="C415" s="520" t="s">
        <v>3911</v>
      </c>
      <c r="D415" s="519" t="s">
        <v>1627</v>
      </c>
      <c r="E415" s="520" t="s">
        <v>1628</v>
      </c>
      <c r="F415" s="113" t="s">
        <v>1520</v>
      </c>
      <c r="G415" s="113" t="s">
        <v>1575</v>
      </c>
      <c r="H415" s="534">
        <f>(278107.34)/1000*$H$3</f>
        <v>278.10734000000002</v>
      </c>
      <c r="I415" s="534">
        <f>H415-(0)/1000*$H$3</f>
        <v>278.10734000000002</v>
      </c>
    </row>
    <row r="416" spans="1:9" ht="132" x14ac:dyDescent="0.2">
      <c r="A416" s="522">
        <v>393</v>
      </c>
      <c r="B416" s="537" t="s">
        <v>3912</v>
      </c>
      <c r="C416" s="520" t="s">
        <v>3913</v>
      </c>
      <c r="D416" s="519" t="s">
        <v>1632</v>
      </c>
      <c r="E416" s="520" t="s">
        <v>1630</v>
      </c>
      <c r="F416" s="113" t="s">
        <v>1520</v>
      </c>
      <c r="G416" s="113" t="s">
        <v>1575</v>
      </c>
      <c r="H416" s="534">
        <f>(280018.29)/1000*$H$3</f>
        <v>280.01828999999998</v>
      </c>
      <c r="I416" s="534">
        <f>H416-(0)/1000*$H$3</f>
        <v>280.01828999999998</v>
      </c>
    </row>
    <row r="417" spans="1:9" ht="180" x14ac:dyDescent="0.2">
      <c r="A417" s="522">
        <v>394</v>
      </c>
      <c r="B417" s="537" t="s">
        <v>3760</v>
      </c>
      <c r="C417" s="520" t="s">
        <v>3914</v>
      </c>
      <c r="D417" s="519" t="s">
        <v>2040</v>
      </c>
      <c r="E417" s="520" t="s">
        <v>3915</v>
      </c>
      <c r="F417" s="113" t="s">
        <v>1520</v>
      </c>
      <c r="G417" s="518" t="s">
        <v>3277</v>
      </c>
      <c r="H417" s="534">
        <f>(43162939.01)/1000*$H$3</f>
        <v>43162.939009999995</v>
      </c>
      <c r="I417" s="534">
        <f>H417-(0)/1000*$H$3</f>
        <v>43162.939009999995</v>
      </c>
    </row>
    <row r="418" spans="1:9" ht="168" x14ac:dyDescent="0.2">
      <c r="A418" s="522">
        <v>395</v>
      </c>
      <c r="B418" s="537" t="s">
        <v>3760</v>
      </c>
      <c r="C418" s="520" t="s">
        <v>3916</v>
      </c>
      <c r="D418" s="519" t="s">
        <v>2046</v>
      </c>
      <c r="E418" s="520" t="s">
        <v>2047</v>
      </c>
      <c r="F418" s="113" t="s">
        <v>1520</v>
      </c>
      <c r="G418" s="518" t="s">
        <v>1526</v>
      </c>
      <c r="H418" s="534">
        <f>(4857411.67)/1000*$H$3</f>
        <v>4857.4116699999995</v>
      </c>
      <c r="I418" s="534">
        <f>H418-(0)/1000*$H$3</f>
        <v>4857.4116699999995</v>
      </c>
    </row>
    <row r="419" spans="1:9" ht="108" x14ac:dyDescent="0.2">
      <c r="A419" s="522">
        <v>396</v>
      </c>
      <c r="B419" s="537" t="s">
        <v>3895</v>
      </c>
      <c r="C419" s="520" t="s">
        <v>3896</v>
      </c>
      <c r="D419" s="519" t="s">
        <v>2231</v>
      </c>
      <c r="E419" s="520" t="s">
        <v>2232</v>
      </c>
      <c r="F419" s="113" t="s">
        <v>1520</v>
      </c>
      <c r="G419" s="113" t="s">
        <v>1520</v>
      </c>
      <c r="H419" s="534">
        <f>(45985)/1000*$H$3</f>
        <v>45.984999999999999</v>
      </c>
      <c r="I419" s="534">
        <f>H419-(0/1000*$H$3)</f>
        <v>45.984999999999999</v>
      </c>
    </row>
    <row r="420" spans="1:9" ht="72" x14ac:dyDescent="0.2">
      <c r="A420" s="522">
        <v>397</v>
      </c>
      <c r="B420" s="539" t="s">
        <v>3723</v>
      </c>
      <c r="C420" s="520" t="s">
        <v>3724</v>
      </c>
      <c r="D420" s="519" t="s">
        <v>2150</v>
      </c>
      <c r="E420" s="520" t="s">
        <v>3917</v>
      </c>
      <c r="F420" s="113" t="s">
        <v>1520</v>
      </c>
      <c r="G420" s="113" t="s">
        <v>1575</v>
      </c>
      <c r="H420" s="534">
        <f>(83050)/1000*$H$3</f>
        <v>83.05</v>
      </c>
      <c r="I420" s="534">
        <f t="shared" ref="I420:I425" si="18">H420-(0)/1000*$H$3</f>
        <v>83.05</v>
      </c>
    </row>
    <row r="421" spans="1:9" ht="120" x14ac:dyDescent="0.2">
      <c r="A421" s="522">
        <v>398</v>
      </c>
      <c r="B421" s="537" t="s">
        <v>3302</v>
      </c>
      <c r="C421" s="520" t="s">
        <v>3918</v>
      </c>
      <c r="D421" s="519" t="s">
        <v>2375</v>
      </c>
      <c r="E421" s="520" t="s">
        <v>2372</v>
      </c>
      <c r="F421" s="113" t="s">
        <v>1575</v>
      </c>
      <c r="G421" s="518" t="s">
        <v>638</v>
      </c>
      <c r="H421" s="534">
        <f>(1186441)/1000*$H$3</f>
        <v>1186.441</v>
      </c>
      <c r="I421" s="534">
        <f t="shared" si="18"/>
        <v>1186.441</v>
      </c>
    </row>
    <row r="422" spans="1:9" ht="108" x14ac:dyDescent="0.2">
      <c r="A422" s="522">
        <v>399</v>
      </c>
      <c r="B422" s="537" t="s">
        <v>3302</v>
      </c>
      <c r="C422" s="520" t="s">
        <v>3919</v>
      </c>
      <c r="D422" s="519" t="s">
        <v>2381</v>
      </c>
      <c r="E422" s="520" t="s">
        <v>3920</v>
      </c>
      <c r="F422" s="113" t="s">
        <v>1575</v>
      </c>
      <c r="G422" s="518" t="s">
        <v>638</v>
      </c>
      <c r="H422" s="534">
        <f>(215519)/1000*$H$3</f>
        <v>215.51900000000001</v>
      </c>
      <c r="I422" s="534">
        <f t="shared" si="18"/>
        <v>215.51900000000001</v>
      </c>
    </row>
    <row r="423" spans="1:9" ht="60" x14ac:dyDescent="0.2">
      <c r="A423" s="522">
        <v>400</v>
      </c>
      <c r="B423" s="537" t="s">
        <v>4128</v>
      </c>
      <c r="C423" s="520" t="s">
        <v>4129</v>
      </c>
      <c r="D423" s="519" t="s">
        <v>2402</v>
      </c>
      <c r="E423" s="520" t="s">
        <v>2403</v>
      </c>
      <c r="F423" s="113" t="s">
        <v>1575</v>
      </c>
      <c r="G423" s="113" t="s">
        <v>638</v>
      </c>
      <c r="H423" s="534">
        <f>(398305)/1000*$H$3</f>
        <v>398.30500000000001</v>
      </c>
      <c r="I423" s="534">
        <f>H423-(0)/1000*$H$3</f>
        <v>398.30500000000001</v>
      </c>
    </row>
    <row r="424" spans="1:9" ht="72" x14ac:dyDescent="0.2">
      <c r="A424" s="522">
        <v>401</v>
      </c>
      <c r="B424" s="537" t="s">
        <v>3337</v>
      </c>
      <c r="C424" s="520" t="s">
        <v>3921</v>
      </c>
      <c r="D424" s="519" t="s">
        <v>1821</v>
      </c>
      <c r="E424" s="520" t="s">
        <v>1827</v>
      </c>
      <c r="F424" s="113" t="s">
        <v>1575</v>
      </c>
      <c r="G424" s="518" t="s">
        <v>1522</v>
      </c>
      <c r="H424" s="534">
        <f>(762463.35)/1000*$H$3</f>
        <v>762.46334999999999</v>
      </c>
      <c r="I424" s="534">
        <f t="shared" si="18"/>
        <v>762.46334999999999</v>
      </c>
    </row>
    <row r="425" spans="1:9" ht="84" x14ac:dyDescent="0.2">
      <c r="A425" s="522">
        <v>402</v>
      </c>
      <c r="B425" s="537" t="s">
        <v>3922</v>
      </c>
      <c r="C425" s="520" t="s">
        <v>3923</v>
      </c>
      <c r="D425" s="519" t="s">
        <v>2302</v>
      </c>
      <c r="E425" s="520" t="s">
        <v>3924</v>
      </c>
      <c r="F425" s="113" t="s">
        <v>638</v>
      </c>
      <c r="G425" s="113" t="s">
        <v>1869</v>
      </c>
      <c r="H425" s="534">
        <f>(190023/1000*$H$3)</f>
        <v>190.023</v>
      </c>
      <c r="I425" s="534">
        <f t="shared" si="18"/>
        <v>190.023</v>
      </c>
    </row>
    <row r="426" spans="1:9" ht="84" x14ac:dyDescent="0.2">
      <c r="A426" s="522">
        <v>403</v>
      </c>
      <c r="B426" s="537" t="s">
        <v>3925</v>
      </c>
      <c r="C426" s="520" t="s">
        <v>3926</v>
      </c>
      <c r="D426" s="519" t="s">
        <v>2419</v>
      </c>
      <c r="E426" s="520" t="s">
        <v>3927</v>
      </c>
      <c r="F426" s="113" t="s">
        <v>638</v>
      </c>
      <c r="G426" s="518" t="s">
        <v>1527</v>
      </c>
      <c r="H426" s="534">
        <v>190186</v>
      </c>
      <c r="I426" s="534">
        <v>118289</v>
      </c>
    </row>
    <row r="427" spans="1:9" ht="108" x14ac:dyDescent="0.2">
      <c r="A427" s="522">
        <v>404</v>
      </c>
      <c r="B427" s="537" t="s">
        <v>3929</v>
      </c>
      <c r="C427" s="520" t="s">
        <v>3926</v>
      </c>
      <c r="D427" s="519" t="s">
        <v>2425</v>
      </c>
      <c r="E427" s="520" t="s">
        <v>3928</v>
      </c>
      <c r="F427" s="113" t="s">
        <v>638</v>
      </c>
      <c r="G427" s="518" t="s">
        <v>1614</v>
      </c>
      <c r="H427" s="534">
        <v>260772</v>
      </c>
      <c r="I427" s="534">
        <v>160456</v>
      </c>
    </row>
    <row r="428" spans="1:9" ht="72" x14ac:dyDescent="0.2">
      <c r="A428" s="522">
        <v>405</v>
      </c>
      <c r="B428" s="537" t="s">
        <v>3930</v>
      </c>
      <c r="C428" s="520" t="s">
        <v>3931</v>
      </c>
      <c r="D428" s="519" t="s">
        <v>2435</v>
      </c>
      <c r="E428" s="520" t="s">
        <v>2434</v>
      </c>
      <c r="F428" s="113" t="s">
        <v>638</v>
      </c>
      <c r="G428" s="518" t="s">
        <v>3121</v>
      </c>
      <c r="H428" s="534">
        <f>(429244813)/1000*$H$3</f>
        <v>429244.81300000002</v>
      </c>
      <c r="I428" s="534">
        <f>H428-(74020790+23211544)/1000*$H$3</f>
        <v>332012.47900000005</v>
      </c>
    </row>
    <row r="429" spans="1:9" ht="108" x14ac:dyDescent="0.2">
      <c r="A429" s="522">
        <v>406</v>
      </c>
      <c r="B429" s="537" t="s">
        <v>3337</v>
      </c>
      <c r="C429" s="520" t="s">
        <v>3932</v>
      </c>
      <c r="D429" s="519" t="s">
        <v>1871</v>
      </c>
      <c r="E429" s="520" t="s">
        <v>1873</v>
      </c>
      <c r="F429" s="113" t="s">
        <v>638</v>
      </c>
      <c r="G429" s="518" t="s">
        <v>1527</v>
      </c>
      <c r="H429" s="534">
        <f>(2730925)/1000*$H$3</f>
        <v>2730.9250000000002</v>
      </c>
      <c r="I429" s="534">
        <f>H429-(0)/1000*$H$3</f>
        <v>2730.9250000000002</v>
      </c>
    </row>
    <row r="430" spans="1:9" ht="96" x14ac:dyDescent="0.2">
      <c r="A430" s="522">
        <v>407</v>
      </c>
      <c r="B430" s="539" t="s">
        <v>3933</v>
      </c>
      <c r="C430" s="520" t="s">
        <v>3934</v>
      </c>
      <c r="D430" s="519" t="s">
        <v>2384</v>
      </c>
      <c r="E430" s="520" t="s">
        <v>2382</v>
      </c>
      <c r="F430" s="113" t="s">
        <v>638</v>
      </c>
      <c r="G430" s="113" t="s">
        <v>638</v>
      </c>
      <c r="H430" s="534">
        <f>(338022)/1000*$H$3</f>
        <v>338.02199999999999</v>
      </c>
      <c r="I430" s="534">
        <f>H430-(0)/1000*$H$3</f>
        <v>338.02199999999999</v>
      </c>
    </row>
    <row r="431" spans="1:9" ht="168" x14ac:dyDescent="0.2">
      <c r="A431" s="522">
        <v>408</v>
      </c>
      <c r="B431" s="537" t="s">
        <v>3935</v>
      </c>
      <c r="C431" s="520" t="s">
        <v>3936</v>
      </c>
      <c r="D431" s="519" t="s">
        <v>2457</v>
      </c>
      <c r="E431" s="520" t="s">
        <v>2455</v>
      </c>
      <c r="F431" s="113" t="s">
        <v>1869</v>
      </c>
      <c r="G431" s="518" t="s">
        <v>1614</v>
      </c>
      <c r="H431" s="534">
        <f>(154156)/1000*$H$3</f>
        <v>154.15600000000001</v>
      </c>
      <c r="I431" s="534">
        <f>H431-(0)/1000*$H$3</f>
        <v>154.15600000000001</v>
      </c>
    </row>
    <row r="432" spans="1:9" ht="132" x14ac:dyDescent="0.2">
      <c r="A432" s="522">
        <v>409</v>
      </c>
      <c r="B432" s="537" t="s">
        <v>3937</v>
      </c>
      <c r="C432" s="520" t="s">
        <v>3331</v>
      </c>
      <c r="D432" s="519" t="s">
        <v>2406</v>
      </c>
      <c r="E432" s="520" t="s">
        <v>2408</v>
      </c>
      <c r="F432" s="113" t="s">
        <v>1869</v>
      </c>
      <c r="G432" s="518" t="s">
        <v>3285</v>
      </c>
      <c r="H432" s="534">
        <f>(616945628)/1000*$H$3</f>
        <v>616945.62800000003</v>
      </c>
      <c r="I432" s="534">
        <f>H432-(50810645)/1000*$H$3</f>
        <v>566134.98300000001</v>
      </c>
    </row>
    <row r="433" spans="1:9" ht="72" x14ac:dyDescent="0.2">
      <c r="A433" s="522">
        <v>410</v>
      </c>
      <c r="B433" s="537" t="s">
        <v>3337</v>
      </c>
      <c r="C433" s="520" t="s">
        <v>3932</v>
      </c>
      <c r="D433" s="519" t="s">
        <v>1852</v>
      </c>
      <c r="E433" s="520" t="s">
        <v>1868</v>
      </c>
      <c r="F433" s="113" t="s">
        <v>1869</v>
      </c>
      <c r="G433" s="518" t="s">
        <v>1870</v>
      </c>
      <c r="H433" s="534">
        <f>(560000)/1000*$H$3</f>
        <v>560</v>
      </c>
      <c r="I433" s="534">
        <f t="shared" ref="I433:I442" si="19">H433-(0)/1000*$H$3</f>
        <v>560</v>
      </c>
    </row>
    <row r="434" spans="1:9" ht="84" x14ac:dyDescent="0.2">
      <c r="A434" s="522">
        <v>411</v>
      </c>
      <c r="B434" s="537" t="s">
        <v>3337</v>
      </c>
      <c r="C434" s="520" t="s">
        <v>3932</v>
      </c>
      <c r="D434" s="519" t="s">
        <v>1853</v>
      </c>
      <c r="E434" s="520" t="s">
        <v>1861</v>
      </c>
      <c r="F434" s="113" t="s">
        <v>1869</v>
      </c>
      <c r="G434" s="518" t="s">
        <v>1614</v>
      </c>
      <c r="H434" s="534">
        <f>(580000)/1000*$H$3</f>
        <v>580</v>
      </c>
      <c r="I434" s="534">
        <f t="shared" si="19"/>
        <v>580</v>
      </c>
    </row>
    <row r="435" spans="1:9" ht="48" x14ac:dyDescent="0.2">
      <c r="A435" s="522">
        <v>412</v>
      </c>
      <c r="B435" s="539" t="s">
        <v>3723</v>
      </c>
      <c r="C435" s="520" t="s">
        <v>3724</v>
      </c>
      <c r="D435" s="519" t="s">
        <v>2151</v>
      </c>
      <c r="E435" s="520" t="s">
        <v>2154</v>
      </c>
      <c r="F435" s="113" t="s">
        <v>1869</v>
      </c>
      <c r="G435" s="113" t="s">
        <v>1522</v>
      </c>
      <c r="H435" s="534">
        <f>(625561)/1000*$H$3</f>
        <v>625.56100000000004</v>
      </c>
      <c r="I435" s="534">
        <f t="shared" si="19"/>
        <v>625.56100000000004</v>
      </c>
    </row>
    <row r="436" spans="1:9" ht="96" x14ac:dyDescent="0.2">
      <c r="A436" s="522">
        <v>413</v>
      </c>
      <c r="B436" s="539" t="s">
        <v>3933</v>
      </c>
      <c r="C436" s="520" t="s">
        <v>3938</v>
      </c>
      <c r="D436" s="519" t="s">
        <v>2449</v>
      </c>
      <c r="E436" s="520" t="s">
        <v>2450</v>
      </c>
      <c r="F436" s="113" t="s">
        <v>1869</v>
      </c>
      <c r="G436" s="113" t="s">
        <v>1869</v>
      </c>
      <c r="H436" s="534">
        <f>(36913)/1000*$H$3</f>
        <v>36.912999999999997</v>
      </c>
      <c r="I436" s="534">
        <f t="shared" si="19"/>
        <v>36.912999999999997</v>
      </c>
    </row>
    <row r="437" spans="1:9" ht="96" x14ac:dyDescent="0.2">
      <c r="A437" s="522">
        <v>414</v>
      </c>
      <c r="B437" s="539" t="s">
        <v>3933</v>
      </c>
      <c r="C437" s="520" t="s">
        <v>3938</v>
      </c>
      <c r="D437" s="519" t="s">
        <v>2452</v>
      </c>
      <c r="E437" s="520" t="s">
        <v>2453</v>
      </c>
      <c r="F437" s="113" t="s">
        <v>1869</v>
      </c>
      <c r="G437" s="113" t="s">
        <v>1869</v>
      </c>
      <c r="H437" s="534">
        <f>(57878)/1000*$H$3</f>
        <v>57.878</v>
      </c>
      <c r="I437" s="534">
        <f t="shared" si="19"/>
        <v>57.878</v>
      </c>
    </row>
    <row r="438" spans="1:9" ht="96" x14ac:dyDescent="0.2">
      <c r="A438" s="522">
        <v>415</v>
      </c>
      <c r="B438" s="537" t="s">
        <v>3307</v>
      </c>
      <c r="C438" s="520" t="s">
        <v>3939</v>
      </c>
      <c r="D438" s="519" t="s">
        <v>1521</v>
      </c>
      <c r="E438" s="520" t="s">
        <v>1523</v>
      </c>
      <c r="F438" s="113" t="s">
        <v>1522</v>
      </c>
      <c r="G438" s="518" t="s">
        <v>1522</v>
      </c>
      <c r="H438" s="534">
        <f>(930000)/1000*$H$3</f>
        <v>930</v>
      </c>
      <c r="I438" s="534">
        <f t="shared" si="19"/>
        <v>930</v>
      </c>
    </row>
    <row r="439" spans="1:9" ht="132" x14ac:dyDescent="0.2">
      <c r="A439" s="522">
        <v>416</v>
      </c>
      <c r="B439" s="537" t="s">
        <v>3697</v>
      </c>
      <c r="C439" s="520" t="s">
        <v>3940</v>
      </c>
      <c r="D439" s="519" t="s">
        <v>1610</v>
      </c>
      <c r="E439" s="520" t="s">
        <v>1608</v>
      </c>
      <c r="F439" s="113" t="s">
        <v>1522</v>
      </c>
      <c r="G439" s="113" t="s">
        <v>1527</v>
      </c>
      <c r="H439" s="534">
        <f>(5573740.3+226363.79)/1000*$H$3</f>
        <v>5800.1040899999998</v>
      </c>
      <c r="I439" s="534">
        <f t="shared" si="19"/>
        <v>5800.1040899999998</v>
      </c>
    </row>
    <row r="440" spans="1:9" ht="132" x14ac:dyDescent="0.2">
      <c r="A440" s="522">
        <v>417</v>
      </c>
      <c r="B440" s="537" t="s">
        <v>3941</v>
      </c>
      <c r="C440" s="520" t="s">
        <v>3942</v>
      </c>
      <c r="D440" s="519" t="s">
        <v>1613</v>
      </c>
      <c r="E440" s="520" t="s">
        <v>1611</v>
      </c>
      <c r="F440" s="113" t="s">
        <v>1522</v>
      </c>
      <c r="G440" s="113" t="s">
        <v>1614</v>
      </c>
      <c r="H440" s="534">
        <f>(428672.11)/1000*$H$3</f>
        <v>428.67210999999998</v>
      </c>
      <c r="I440" s="534">
        <f t="shared" si="19"/>
        <v>428.67210999999998</v>
      </c>
    </row>
    <row r="441" spans="1:9" ht="132" x14ac:dyDescent="0.2">
      <c r="A441" s="522">
        <v>418</v>
      </c>
      <c r="B441" s="537" t="s">
        <v>3943</v>
      </c>
      <c r="C441" s="520" t="s">
        <v>3944</v>
      </c>
      <c r="D441" s="519" t="s">
        <v>1949</v>
      </c>
      <c r="E441" s="520" t="s">
        <v>3945</v>
      </c>
      <c r="F441" s="113" t="s">
        <v>1522</v>
      </c>
      <c r="G441" s="113" t="s">
        <v>1596</v>
      </c>
      <c r="H441" s="534">
        <f>(9020467.54)/1000*$H$3</f>
        <v>9020.4675399999996</v>
      </c>
      <c r="I441" s="534">
        <f t="shared" si="19"/>
        <v>9020.4675399999996</v>
      </c>
    </row>
    <row r="442" spans="1:9" ht="108" x14ac:dyDescent="0.2">
      <c r="A442" s="522">
        <v>419</v>
      </c>
      <c r="B442" s="539" t="s">
        <v>3946</v>
      </c>
      <c r="C442" s="520" t="s">
        <v>3947</v>
      </c>
      <c r="D442" s="519" t="s">
        <v>2467</v>
      </c>
      <c r="E442" s="520" t="s">
        <v>2465</v>
      </c>
      <c r="F442" s="113" t="s">
        <v>1522</v>
      </c>
      <c r="G442" s="113" t="s">
        <v>1522</v>
      </c>
      <c r="H442" s="534">
        <f>(52000)/1000*$H$3</f>
        <v>52</v>
      </c>
      <c r="I442" s="534">
        <f t="shared" si="19"/>
        <v>52</v>
      </c>
    </row>
    <row r="443" spans="1:9" ht="324" x14ac:dyDescent="0.2">
      <c r="A443" s="522">
        <v>420</v>
      </c>
      <c r="B443" s="537" t="s">
        <v>3948</v>
      </c>
      <c r="C443" s="520" t="s">
        <v>3949</v>
      </c>
      <c r="D443" s="519" t="s">
        <v>1715</v>
      </c>
      <c r="E443" s="520" t="s">
        <v>1713</v>
      </c>
      <c r="F443" s="113" t="s">
        <v>1614</v>
      </c>
      <c r="G443" s="518" t="s">
        <v>3277</v>
      </c>
      <c r="H443" s="534">
        <f>(12800000)/1000*$H$3</f>
        <v>12800</v>
      </c>
      <c r="I443" s="534">
        <f>H443-(1165032.3+200000)/1000*$I$3</f>
        <v>11434.967699999999</v>
      </c>
    </row>
    <row r="444" spans="1:9" ht="192" x14ac:dyDescent="0.2">
      <c r="A444" s="522">
        <v>421</v>
      </c>
      <c r="B444" s="537" t="s">
        <v>3460</v>
      </c>
      <c r="C444" s="520" t="s">
        <v>3950</v>
      </c>
      <c r="D444" s="519" t="s">
        <v>2069</v>
      </c>
      <c r="E444" s="520" t="s">
        <v>3951</v>
      </c>
      <c r="F444" s="113" t="s">
        <v>1614</v>
      </c>
      <c r="G444" s="113" t="s">
        <v>1635</v>
      </c>
      <c r="H444" s="534">
        <f>(547321)/1000*$H$3</f>
        <v>547.32100000000003</v>
      </c>
      <c r="I444" s="534">
        <f>H444-(0)/1000*$H$3</f>
        <v>547.32100000000003</v>
      </c>
    </row>
    <row r="445" spans="1:9" ht="60" x14ac:dyDescent="0.2">
      <c r="A445" s="522">
        <v>422</v>
      </c>
      <c r="B445" s="537" t="s">
        <v>2085</v>
      </c>
      <c r="C445" s="520" t="s">
        <v>3851</v>
      </c>
      <c r="D445" s="519" t="s">
        <v>2111</v>
      </c>
      <c r="E445" s="520" t="s">
        <v>2110</v>
      </c>
      <c r="F445" s="113" t="s">
        <v>1614</v>
      </c>
      <c r="G445" s="113" t="s">
        <v>1875</v>
      </c>
      <c r="H445" s="534">
        <f>(422034)/1000*$H$3</f>
        <v>422.03399999999999</v>
      </c>
      <c r="I445" s="534">
        <f>H445-(155000/1000*$H$3)</f>
        <v>267.03399999999999</v>
      </c>
    </row>
    <row r="446" spans="1:9" ht="72" x14ac:dyDescent="0.2">
      <c r="A446" s="522">
        <v>423</v>
      </c>
      <c r="B446" s="537" t="s">
        <v>3337</v>
      </c>
      <c r="C446" s="520" t="s">
        <v>3952</v>
      </c>
      <c r="D446" s="519" t="s">
        <v>1854</v>
      </c>
      <c r="E446" s="520" t="s">
        <v>1862</v>
      </c>
      <c r="F446" s="113" t="s">
        <v>1614</v>
      </c>
      <c r="G446" s="518" t="s">
        <v>1636</v>
      </c>
      <c r="H446" s="534">
        <f>(120125.84)/1000*$H$3</f>
        <v>120.12584</v>
      </c>
      <c r="I446" s="534">
        <f>H446-(0)/1000*$H$3</f>
        <v>120.12584</v>
      </c>
    </row>
    <row r="447" spans="1:9" ht="72" x14ac:dyDescent="0.2">
      <c r="A447" s="522">
        <v>424</v>
      </c>
      <c r="B447" s="537" t="s">
        <v>3337</v>
      </c>
      <c r="C447" s="520" t="s">
        <v>3952</v>
      </c>
      <c r="D447" s="519" t="s">
        <v>1855</v>
      </c>
      <c r="E447" s="520" t="s">
        <v>3953</v>
      </c>
      <c r="F447" s="113" t="s">
        <v>1614</v>
      </c>
      <c r="G447" s="518" t="s">
        <v>1526</v>
      </c>
      <c r="H447" s="534">
        <f>(3244950.59)/1000*$H$3</f>
        <v>3244.9505899999999</v>
      </c>
      <c r="I447" s="534">
        <f>H447-(0)/1000*$H$3</f>
        <v>3244.9505899999999</v>
      </c>
    </row>
    <row r="448" spans="1:9" ht="132" x14ac:dyDescent="0.2">
      <c r="A448" s="522">
        <v>425</v>
      </c>
      <c r="B448" s="537" t="s">
        <v>3954</v>
      </c>
      <c r="C448" s="517" t="s">
        <v>3955</v>
      </c>
      <c r="D448" s="516" t="s">
        <v>2461</v>
      </c>
      <c r="E448" s="520" t="s">
        <v>2459</v>
      </c>
      <c r="F448" s="113" t="s">
        <v>1614</v>
      </c>
      <c r="G448" s="113" t="s">
        <v>1526</v>
      </c>
      <c r="H448" s="534">
        <f>(2003762)/1000*$H$3</f>
        <v>2003.7619999999999</v>
      </c>
      <c r="I448" s="534">
        <f>H448-(0)/1000*$H$3</f>
        <v>2003.7619999999999</v>
      </c>
    </row>
    <row r="449" spans="1:9" ht="108" x14ac:dyDescent="0.2">
      <c r="A449" s="522">
        <v>426</v>
      </c>
      <c r="B449" s="537" t="s">
        <v>3956</v>
      </c>
      <c r="C449" s="520" t="s">
        <v>3957</v>
      </c>
      <c r="D449" s="519" t="s">
        <v>2398</v>
      </c>
      <c r="E449" s="520" t="s">
        <v>3958</v>
      </c>
      <c r="F449" s="113" t="s">
        <v>1614</v>
      </c>
      <c r="G449" s="113" t="s">
        <v>1635</v>
      </c>
      <c r="H449" s="534">
        <f>(1250000/1000*$H$3)</f>
        <v>1250</v>
      </c>
      <c r="I449" s="534">
        <f>H449-(285697)/1000*$H$3</f>
        <v>964.303</v>
      </c>
    </row>
    <row r="450" spans="1:9" ht="132" x14ac:dyDescent="0.2">
      <c r="A450" s="522">
        <v>427</v>
      </c>
      <c r="B450" s="537" t="s">
        <v>3795</v>
      </c>
      <c r="C450" s="520" t="s">
        <v>3959</v>
      </c>
      <c r="D450" s="519" t="s">
        <v>1634</v>
      </c>
      <c r="E450" s="520" t="s">
        <v>1633</v>
      </c>
      <c r="F450" s="113" t="s">
        <v>1635</v>
      </c>
      <c r="G450" s="113" t="s">
        <v>1636</v>
      </c>
      <c r="H450" s="534">
        <f>(852517.28)/1000*$H$3</f>
        <v>852.51728000000003</v>
      </c>
      <c r="I450" s="534">
        <f t="shared" ref="I450:I458" si="20">H450-(0)/1000*$H$3</f>
        <v>852.51728000000003</v>
      </c>
    </row>
    <row r="451" spans="1:9" ht="108" x14ac:dyDescent="0.2">
      <c r="A451" s="522">
        <v>428</v>
      </c>
      <c r="B451" s="537" t="s">
        <v>3801</v>
      </c>
      <c r="C451" s="520" t="s">
        <v>3960</v>
      </c>
      <c r="D451" s="519" t="s">
        <v>1730</v>
      </c>
      <c r="E451" s="520" t="s">
        <v>1731</v>
      </c>
      <c r="F451" s="113" t="s">
        <v>1635</v>
      </c>
      <c r="G451" s="113" t="s">
        <v>1527</v>
      </c>
      <c r="H451" s="534">
        <f>(1300000)/1000*$H$3</f>
        <v>1300</v>
      </c>
      <c r="I451" s="534">
        <f t="shared" si="20"/>
        <v>1300</v>
      </c>
    </row>
    <row r="452" spans="1:9" ht="108" x14ac:dyDescent="0.2">
      <c r="A452" s="522">
        <v>429</v>
      </c>
      <c r="B452" s="537" t="s">
        <v>3961</v>
      </c>
      <c r="C452" s="520" t="s">
        <v>3962</v>
      </c>
      <c r="D452" s="519" t="s">
        <v>1733</v>
      </c>
      <c r="E452" s="520" t="s">
        <v>1734</v>
      </c>
      <c r="F452" s="113" t="s">
        <v>1635</v>
      </c>
      <c r="G452" s="113" t="s">
        <v>1527</v>
      </c>
      <c r="H452" s="534">
        <f>(1780000)/1000*$H$3</f>
        <v>1780</v>
      </c>
      <c r="I452" s="534">
        <f t="shared" si="20"/>
        <v>1780</v>
      </c>
    </row>
    <row r="453" spans="1:9" ht="132" x14ac:dyDescent="0.2">
      <c r="A453" s="522">
        <v>430</v>
      </c>
      <c r="B453" s="537" t="s">
        <v>3963</v>
      </c>
      <c r="C453" s="520" t="s">
        <v>3964</v>
      </c>
      <c r="D453" s="519" t="s">
        <v>2183</v>
      </c>
      <c r="E453" s="520" t="s">
        <v>2180</v>
      </c>
      <c r="F453" s="113" t="s">
        <v>1635</v>
      </c>
      <c r="G453" s="113" t="s">
        <v>1526</v>
      </c>
      <c r="H453" s="534">
        <f>(4211179)/1000*$H$3</f>
        <v>4211.1790000000001</v>
      </c>
      <c r="I453" s="534">
        <f t="shared" si="20"/>
        <v>4211.1790000000001</v>
      </c>
    </row>
    <row r="454" spans="1:9" ht="108" x14ac:dyDescent="0.2">
      <c r="A454" s="522">
        <v>431</v>
      </c>
      <c r="B454" s="537" t="s">
        <v>3965</v>
      </c>
      <c r="C454" s="517" t="s">
        <v>3966</v>
      </c>
      <c r="D454" s="516" t="s">
        <v>2475</v>
      </c>
      <c r="E454" s="520" t="s">
        <v>2472</v>
      </c>
      <c r="F454" s="113" t="s">
        <v>1635</v>
      </c>
      <c r="G454" s="113" t="s">
        <v>1875</v>
      </c>
      <c r="H454" s="534">
        <f>(452377)/1000*$H$3</f>
        <v>452.37700000000001</v>
      </c>
      <c r="I454" s="534">
        <f t="shared" si="20"/>
        <v>452.37700000000001</v>
      </c>
    </row>
    <row r="455" spans="1:9" ht="120" x14ac:dyDescent="0.2">
      <c r="A455" s="522">
        <v>432</v>
      </c>
      <c r="B455" s="537" t="s">
        <v>3967</v>
      </c>
      <c r="C455" s="520" t="s">
        <v>3968</v>
      </c>
      <c r="D455" s="516" t="s">
        <v>2478</v>
      </c>
      <c r="E455" s="520" t="s">
        <v>3969</v>
      </c>
      <c r="F455" s="113" t="s">
        <v>1635</v>
      </c>
      <c r="G455" s="113" t="s">
        <v>1526</v>
      </c>
      <c r="H455" s="534">
        <f>(397284)/1000*$H$3</f>
        <v>397.28399999999999</v>
      </c>
      <c r="I455" s="534">
        <f t="shared" si="20"/>
        <v>397.28399999999999</v>
      </c>
    </row>
    <row r="456" spans="1:9" ht="84" x14ac:dyDescent="0.2">
      <c r="A456" s="522">
        <v>433</v>
      </c>
      <c r="B456" s="539" t="s">
        <v>3723</v>
      </c>
      <c r="C456" s="520" t="s">
        <v>3724</v>
      </c>
      <c r="D456" s="519" t="s">
        <v>2158</v>
      </c>
      <c r="E456" s="520" t="s">
        <v>2156</v>
      </c>
      <c r="F456" s="113" t="s">
        <v>1635</v>
      </c>
      <c r="G456" s="113" t="s">
        <v>1596</v>
      </c>
      <c r="H456" s="534">
        <f>(1484769.95)/1000*$H$3</f>
        <v>1484.7699499999999</v>
      </c>
      <c r="I456" s="534">
        <f t="shared" si="20"/>
        <v>1484.7699499999999</v>
      </c>
    </row>
    <row r="457" spans="1:9" ht="48" x14ac:dyDescent="0.2">
      <c r="A457" s="522">
        <v>434</v>
      </c>
      <c r="B457" s="539" t="s">
        <v>3723</v>
      </c>
      <c r="C457" s="520" t="s">
        <v>3724</v>
      </c>
      <c r="D457" s="519" t="s">
        <v>2152</v>
      </c>
      <c r="E457" s="520" t="s">
        <v>2160</v>
      </c>
      <c r="F457" s="113" t="s">
        <v>1635</v>
      </c>
      <c r="G457" s="113" t="s">
        <v>1636</v>
      </c>
      <c r="H457" s="534">
        <f>(1447457.63)/1000*$H$3</f>
        <v>1447.4576299999999</v>
      </c>
      <c r="I457" s="534">
        <f t="shared" si="20"/>
        <v>1447.4576299999999</v>
      </c>
    </row>
    <row r="458" spans="1:9" ht="108" x14ac:dyDescent="0.2">
      <c r="A458" s="522">
        <v>435</v>
      </c>
      <c r="B458" s="537" t="s">
        <v>3302</v>
      </c>
      <c r="C458" s="520" t="s">
        <v>3970</v>
      </c>
      <c r="D458" s="519" t="s">
        <v>2370</v>
      </c>
      <c r="E458" s="520" t="s">
        <v>3971</v>
      </c>
      <c r="F458" s="113" t="s">
        <v>1875</v>
      </c>
      <c r="G458" s="518" t="s">
        <v>1875</v>
      </c>
      <c r="H458" s="534">
        <f>(104321)/1000*$H$3</f>
        <v>104.321</v>
      </c>
      <c r="I458" s="534">
        <f t="shared" si="20"/>
        <v>104.321</v>
      </c>
    </row>
    <row r="459" spans="1:9" ht="108" x14ac:dyDescent="0.2">
      <c r="A459" s="522">
        <v>436</v>
      </c>
      <c r="B459" s="537" t="s">
        <v>3972</v>
      </c>
      <c r="C459" s="520" t="s">
        <v>3973</v>
      </c>
      <c r="D459" s="519" t="s">
        <v>2510</v>
      </c>
      <c r="E459" s="520" t="s">
        <v>2507</v>
      </c>
      <c r="F459" s="113" t="s">
        <v>1875</v>
      </c>
      <c r="G459" s="113" t="s">
        <v>1526</v>
      </c>
      <c r="H459" s="534">
        <f>(1271186)/1000*$H$3</f>
        <v>1271.1859999999999</v>
      </c>
      <c r="I459" s="534">
        <f>H459-(0/1000*$H$3)</f>
        <v>1271.1859999999999</v>
      </c>
    </row>
    <row r="460" spans="1:9" ht="168" x14ac:dyDescent="0.2">
      <c r="A460" s="522">
        <v>437</v>
      </c>
      <c r="B460" s="537" t="s">
        <v>3975</v>
      </c>
      <c r="C460" s="520" t="s">
        <v>3974</v>
      </c>
      <c r="D460" s="519" t="s">
        <v>2506</v>
      </c>
      <c r="E460" s="520" t="s">
        <v>3976</v>
      </c>
      <c r="F460" s="113" t="s">
        <v>1875</v>
      </c>
      <c r="G460" s="113" t="s">
        <v>1527</v>
      </c>
      <c r="H460" s="534">
        <f>(1231207)/1000*$H$3</f>
        <v>1231.2070000000001</v>
      </c>
      <c r="I460" s="534">
        <f>H460-(0)/1000*$H$3</f>
        <v>1231.2070000000001</v>
      </c>
    </row>
    <row r="461" spans="1:9" ht="72" x14ac:dyDescent="0.2">
      <c r="A461" s="522">
        <v>438</v>
      </c>
      <c r="B461" s="537" t="s">
        <v>3337</v>
      </c>
      <c r="C461" s="520" t="s">
        <v>3952</v>
      </c>
      <c r="D461" s="519" t="s">
        <v>1856</v>
      </c>
      <c r="E461" s="520" t="s">
        <v>1874</v>
      </c>
      <c r="F461" s="113" t="s">
        <v>1875</v>
      </c>
      <c r="G461" s="518" t="s">
        <v>1636</v>
      </c>
      <c r="H461" s="534">
        <f>(38378)/1000*$H$3</f>
        <v>38.378</v>
      </c>
      <c r="I461" s="534">
        <f>H461-(0)/1000*$H$3</f>
        <v>38.378</v>
      </c>
    </row>
    <row r="462" spans="1:9" ht="72" x14ac:dyDescent="0.2">
      <c r="A462" s="522">
        <v>439</v>
      </c>
      <c r="B462" s="537" t="s">
        <v>3337</v>
      </c>
      <c r="C462" s="520" t="s">
        <v>3952</v>
      </c>
      <c r="D462" s="519" t="s">
        <v>1857</v>
      </c>
      <c r="E462" s="520" t="s">
        <v>2972</v>
      </c>
      <c r="F462" s="113" t="s">
        <v>1875</v>
      </c>
      <c r="G462" s="518" t="s">
        <v>1636</v>
      </c>
      <c r="H462" s="534">
        <f>(113567.42)/1000*$H$3</f>
        <v>113.56742</v>
      </c>
      <c r="I462" s="534">
        <f>H462-(0)/1000*$H$3</f>
        <v>113.56742</v>
      </c>
    </row>
    <row r="463" spans="1:9" ht="96" x14ac:dyDescent="0.2">
      <c r="A463" s="522">
        <v>440</v>
      </c>
      <c r="B463" s="537" t="s">
        <v>3977</v>
      </c>
      <c r="C463" s="520" t="s">
        <v>3978</v>
      </c>
      <c r="D463" s="519" t="s">
        <v>1941</v>
      </c>
      <c r="E463" s="520" t="s">
        <v>1937</v>
      </c>
      <c r="F463" s="113" t="s">
        <v>1875</v>
      </c>
      <c r="G463" s="518" t="s">
        <v>2989</v>
      </c>
      <c r="H463" s="534">
        <f>(40327044.77)/1000*$H$3</f>
        <v>40327.04477</v>
      </c>
      <c r="I463" s="534">
        <f>H463-(7007965+3186292)/1000*$H$3</f>
        <v>30132.787770000003</v>
      </c>
    </row>
    <row r="464" spans="1:9" ht="96" x14ac:dyDescent="0.2">
      <c r="A464" s="522">
        <v>441</v>
      </c>
      <c r="B464" s="539" t="s">
        <v>3979</v>
      </c>
      <c r="C464" s="520" t="s">
        <v>3980</v>
      </c>
      <c r="D464" s="519" t="s">
        <v>2503</v>
      </c>
      <c r="E464" s="520" t="s">
        <v>2501</v>
      </c>
      <c r="F464" s="113" t="s">
        <v>1875</v>
      </c>
      <c r="G464" s="113" t="s">
        <v>1875</v>
      </c>
      <c r="H464" s="534">
        <f>(78158)/1000*$H$3</f>
        <v>78.158000000000001</v>
      </c>
      <c r="I464" s="534">
        <f>H464-(0)/1000*$H$3</f>
        <v>78.158000000000001</v>
      </c>
    </row>
    <row r="465" spans="1:9" ht="96" x14ac:dyDescent="0.2">
      <c r="A465" s="522">
        <v>442</v>
      </c>
      <c r="B465" s="537" t="s">
        <v>3307</v>
      </c>
      <c r="C465" s="520" t="s">
        <v>3981</v>
      </c>
      <c r="D465" s="519" t="s">
        <v>1525</v>
      </c>
      <c r="E465" s="520" t="s">
        <v>3982</v>
      </c>
      <c r="F465" s="113" t="s">
        <v>1526</v>
      </c>
      <c r="G465" s="518" t="s">
        <v>1527</v>
      </c>
      <c r="H465" s="534">
        <f>(1600000)/1000*$H$3</f>
        <v>1600</v>
      </c>
      <c r="I465" s="534">
        <f>H465-(0)/1000*$H$3</f>
        <v>1600</v>
      </c>
    </row>
    <row r="466" spans="1:9" ht="120" x14ac:dyDescent="0.2">
      <c r="A466" s="522">
        <v>443</v>
      </c>
      <c r="B466" s="537" t="s">
        <v>3983</v>
      </c>
      <c r="C466" s="520" t="s">
        <v>3984</v>
      </c>
      <c r="D466" s="519" t="s">
        <v>1656</v>
      </c>
      <c r="E466" s="520" t="s">
        <v>2027</v>
      </c>
      <c r="F466" s="113" t="s">
        <v>1526</v>
      </c>
      <c r="G466" s="113" t="s">
        <v>1527</v>
      </c>
      <c r="H466" s="534">
        <f>(1707694.38)/1000*$H$3</f>
        <v>1707.6943799999999</v>
      </c>
      <c r="I466" s="534">
        <f>H466-(0)/1000*$H$3</f>
        <v>1707.6943799999999</v>
      </c>
    </row>
    <row r="467" spans="1:9" ht="180" x14ac:dyDescent="0.2">
      <c r="A467" s="522">
        <v>444</v>
      </c>
      <c r="B467" s="537" t="s">
        <v>3935</v>
      </c>
      <c r="C467" s="520" t="s">
        <v>3985</v>
      </c>
      <c r="D467" s="519" t="s">
        <v>2072</v>
      </c>
      <c r="E467" s="520" t="s">
        <v>2073</v>
      </c>
      <c r="F467" s="113" t="s">
        <v>1526</v>
      </c>
      <c r="G467" s="518" t="s">
        <v>3023</v>
      </c>
      <c r="H467" s="534">
        <f>(3500000)/1000*$H$3</f>
        <v>3500</v>
      </c>
      <c r="I467" s="534">
        <f>H467-(35000)/1000*$H$3</f>
        <v>3465</v>
      </c>
    </row>
    <row r="468" spans="1:9" ht="60" x14ac:dyDescent="0.2">
      <c r="A468" s="522">
        <v>445</v>
      </c>
      <c r="B468" s="537" t="s">
        <v>3849</v>
      </c>
      <c r="C468" s="520" t="s">
        <v>3850</v>
      </c>
      <c r="D468" s="519" t="s">
        <v>2114</v>
      </c>
      <c r="E468" s="520" t="s">
        <v>2115</v>
      </c>
      <c r="F468" s="113" t="s">
        <v>1526</v>
      </c>
      <c r="G468" s="113" t="s">
        <v>1636</v>
      </c>
      <c r="H468" s="534">
        <f>(170615)/1000*$H$3</f>
        <v>170.61500000000001</v>
      </c>
      <c r="I468" s="534">
        <f>H468-(143096)/1000*$H$3</f>
        <v>27.519000000000005</v>
      </c>
    </row>
    <row r="469" spans="1:9" ht="120" x14ac:dyDescent="0.2">
      <c r="A469" s="522">
        <v>446</v>
      </c>
      <c r="B469" s="537" t="s">
        <v>3986</v>
      </c>
      <c r="C469" s="520" t="s">
        <v>3987</v>
      </c>
      <c r="D469" s="519" t="s">
        <v>3138</v>
      </c>
      <c r="E469" s="520" t="s">
        <v>2528</v>
      </c>
      <c r="F469" s="113" t="s">
        <v>1526</v>
      </c>
      <c r="G469" s="518" t="s">
        <v>1636</v>
      </c>
      <c r="H469" s="534">
        <f>(800000)/1000*$H$3</f>
        <v>800</v>
      </c>
      <c r="I469" s="534">
        <f>H469-(0)/1000*$H$3</f>
        <v>800</v>
      </c>
    </row>
    <row r="470" spans="1:9" ht="108" x14ac:dyDescent="0.2">
      <c r="A470" s="522">
        <v>447</v>
      </c>
      <c r="B470" s="537" t="s">
        <v>2512</v>
      </c>
      <c r="C470" s="520" t="s">
        <v>3988</v>
      </c>
      <c r="D470" s="519" t="s">
        <v>2513</v>
      </c>
      <c r="E470" s="520" t="s">
        <v>2514</v>
      </c>
      <c r="F470" s="113" t="s">
        <v>1526</v>
      </c>
      <c r="G470" s="113" t="s">
        <v>1636</v>
      </c>
      <c r="H470" s="534">
        <f>(500000)/1000*$H$3</f>
        <v>500</v>
      </c>
      <c r="I470" s="534">
        <f>H470-(0/1000*$H$3)</f>
        <v>500</v>
      </c>
    </row>
    <row r="471" spans="1:9" ht="108" x14ac:dyDescent="0.2">
      <c r="A471" s="522">
        <v>448</v>
      </c>
      <c r="B471" s="537" t="s">
        <v>2512</v>
      </c>
      <c r="C471" s="520" t="s">
        <v>3988</v>
      </c>
      <c r="D471" s="519" t="s">
        <v>2515</v>
      </c>
      <c r="E471" s="520" t="s">
        <v>2516</v>
      </c>
      <c r="F471" s="113" t="s">
        <v>1526</v>
      </c>
      <c r="G471" s="113" t="s">
        <v>1636</v>
      </c>
      <c r="H471" s="534">
        <f>(500000)/1000*$H$3</f>
        <v>500</v>
      </c>
      <c r="I471" s="534">
        <f>H471-(0/1000*$H$3)</f>
        <v>500</v>
      </c>
    </row>
    <row r="472" spans="1:9" ht="72" x14ac:dyDescent="0.2">
      <c r="A472" s="522">
        <v>449</v>
      </c>
      <c r="B472" s="537" t="s">
        <v>3337</v>
      </c>
      <c r="C472" s="520" t="s">
        <v>3989</v>
      </c>
      <c r="D472" s="519" t="s">
        <v>1858</v>
      </c>
      <c r="E472" s="520" t="s">
        <v>2973</v>
      </c>
      <c r="F472" s="113" t="s">
        <v>1526</v>
      </c>
      <c r="G472" s="518" t="s">
        <v>1527</v>
      </c>
      <c r="H472" s="534">
        <f>(560000)/1000*$H$3</f>
        <v>560</v>
      </c>
      <c r="I472" s="534">
        <f t="shared" ref="I472:I480" si="21">H472-(0)/1000*$H$3</f>
        <v>560</v>
      </c>
    </row>
    <row r="473" spans="1:9" ht="84" x14ac:dyDescent="0.2">
      <c r="A473" s="522">
        <v>450</v>
      </c>
      <c r="B473" s="537" t="s">
        <v>3337</v>
      </c>
      <c r="C473" s="520" t="s">
        <v>3989</v>
      </c>
      <c r="D473" s="519" t="s">
        <v>1878</v>
      </c>
      <c r="E473" s="520" t="s">
        <v>1865</v>
      </c>
      <c r="F473" s="113" t="s">
        <v>1526</v>
      </c>
      <c r="G473" s="518" t="s">
        <v>1603</v>
      </c>
      <c r="H473" s="534">
        <f>(26900000)/1000*$H$3</f>
        <v>26900</v>
      </c>
      <c r="I473" s="534">
        <f t="shared" si="21"/>
        <v>26900</v>
      </c>
    </row>
    <row r="474" spans="1:9" ht="120" x14ac:dyDescent="0.2">
      <c r="A474" s="522">
        <v>451</v>
      </c>
      <c r="B474" s="537" t="s">
        <v>2974</v>
      </c>
      <c r="C474" s="517" t="s">
        <v>3290</v>
      </c>
      <c r="D474" s="516" t="s">
        <v>2470</v>
      </c>
      <c r="E474" s="520" t="s">
        <v>2469</v>
      </c>
      <c r="F474" s="113" t="s">
        <v>1526</v>
      </c>
      <c r="G474" s="113" t="s">
        <v>1527</v>
      </c>
      <c r="H474" s="534">
        <f>(456093)/1000*$H$3</f>
        <v>456.09300000000002</v>
      </c>
      <c r="I474" s="534">
        <f t="shared" si="21"/>
        <v>456.09300000000002</v>
      </c>
    </row>
    <row r="475" spans="1:9" ht="108" x14ac:dyDescent="0.2">
      <c r="A475" s="522">
        <v>452</v>
      </c>
      <c r="B475" s="537" t="s">
        <v>3990</v>
      </c>
      <c r="C475" s="517" t="s">
        <v>3991</v>
      </c>
      <c r="D475" s="516" t="s">
        <v>2484</v>
      </c>
      <c r="E475" s="520" t="s">
        <v>2481</v>
      </c>
      <c r="F475" s="113" t="s">
        <v>1526</v>
      </c>
      <c r="G475" s="113" t="s">
        <v>1636</v>
      </c>
      <c r="H475" s="534">
        <f>(338983)/1000*$H$3</f>
        <v>338.983</v>
      </c>
      <c r="I475" s="534">
        <f t="shared" si="21"/>
        <v>338.983</v>
      </c>
    </row>
    <row r="476" spans="1:9" ht="120" x14ac:dyDescent="0.2">
      <c r="A476" s="522">
        <v>453</v>
      </c>
      <c r="B476" s="537" t="s">
        <v>3992</v>
      </c>
      <c r="C476" s="520" t="s">
        <v>3993</v>
      </c>
      <c r="D476" s="519" t="s">
        <v>2527</v>
      </c>
      <c r="E476" s="520" t="s">
        <v>2524</v>
      </c>
      <c r="F476" s="113" t="s">
        <v>1636</v>
      </c>
      <c r="G476" s="518" t="s">
        <v>1643</v>
      </c>
      <c r="H476" s="534">
        <f>(2352941.18)/1000*$H$3</f>
        <v>2352.9411800000003</v>
      </c>
      <c r="I476" s="534">
        <f t="shared" si="21"/>
        <v>2352.9411800000003</v>
      </c>
    </row>
    <row r="477" spans="1:9" ht="132" x14ac:dyDescent="0.2">
      <c r="A477" s="522">
        <v>454</v>
      </c>
      <c r="B477" s="537" t="s">
        <v>3994</v>
      </c>
      <c r="C477" s="520" t="s">
        <v>3995</v>
      </c>
      <c r="D477" s="519" t="s">
        <v>1637</v>
      </c>
      <c r="E477" s="520" t="s">
        <v>3996</v>
      </c>
      <c r="F477" s="113" t="s">
        <v>1636</v>
      </c>
      <c r="G477" s="113" t="s">
        <v>1527</v>
      </c>
      <c r="H477" s="534">
        <f>(530000)/1000*$H$3</f>
        <v>530</v>
      </c>
      <c r="I477" s="534">
        <f t="shared" si="21"/>
        <v>530</v>
      </c>
    </row>
    <row r="478" spans="1:9" ht="120" x14ac:dyDescent="0.2">
      <c r="A478" s="522">
        <v>455</v>
      </c>
      <c r="B478" s="537" t="s">
        <v>3798</v>
      </c>
      <c r="C478" s="520" t="s">
        <v>3997</v>
      </c>
      <c r="D478" s="519" t="s">
        <v>1657</v>
      </c>
      <c r="E478" s="520" t="s">
        <v>2028</v>
      </c>
      <c r="F478" s="113" t="s">
        <v>1636</v>
      </c>
      <c r="G478" s="113" t="s">
        <v>1527</v>
      </c>
      <c r="H478" s="534">
        <f>(1095766.35)/1000*$H$3</f>
        <v>1095.7663500000001</v>
      </c>
      <c r="I478" s="534">
        <f t="shared" si="21"/>
        <v>1095.7663500000001</v>
      </c>
    </row>
    <row r="479" spans="1:9" ht="120" x14ac:dyDescent="0.2">
      <c r="A479" s="522">
        <v>456</v>
      </c>
      <c r="B479" s="537" t="s">
        <v>3798</v>
      </c>
      <c r="C479" s="520" t="s">
        <v>3998</v>
      </c>
      <c r="D479" s="519" t="s">
        <v>1658</v>
      </c>
      <c r="E479" s="520" t="s">
        <v>2026</v>
      </c>
      <c r="F479" s="113" t="s">
        <v>1636</v>
      </c>
      <c r="G479" s="113" t="s">
        <v>1527</v>
      </c>
      <c r="H479" s="534">
        <f>(1457636.91)/1000*$H$3</f>
        <v>1457.6369099999999</v>
      </c>
      <c r="I479" s="534">
        <f t="shared" si="21"/>
        <v>1457.6369099999999</v>
      </c>
    </row>
    <row r="480" spans="1:9" ht="108" x14ac:dyDescent="0.2">
      <c r="A480" s="522">
        <v>457</v>
      </c>
      <c r="B480" s="537" t="s">
        <v>3999</v>
      </c>
      <c r="C480" s="520" t="s">
        <v>4000</v>
      </c>
      <c r="D480" s="519" t="s">
        <v>2520</v>
      </c>
      <c r="E480" s="520" t="s">
        <v>2521</v>
      </c>
      <c r="F480" s="113" t="s">
        <v>1636</v>
      </c>
      <c r="G480" s="113" t="s">
        <v>1636</v>
      </c>
      <c r="H480" s="534">
        <f>(200000)/1000*$H$3</f>
        <v>200</v>
      </c>
      <c r="I480" s="534">
        <f t="shared" si="21"/>
        <v>200</v>
      </c>
    </row>
    <row r="481" spans="1:9" ht="96" x14ac:dyDescent="0.2">
      <c r="A481" s="522">
        <v>458</v>
      </c>
      <c r="B481" s="537" t="s">
        <v>4001</v>
      </c>
      <c r="C481" s="520" t="s">
        <v>4247</v>
      </c>
      <c r="D481" s="519" t="s">
        <v>2412</v>
      </c>
      <c r="E481" s="520" t="s">
        <v>4002</v>
      </c>
      <c r="F481" s="113" t="s">
        <v>1636</v>
      </c>
      <c r="G481" s="518" t="s">
        <v>1527</v>
      </c>
      <c r="H481" s="534">
        <f>(73780000)/1000*$H$3</f>
        <v>73780</v>
      </c>
      <c r="I481" s="534">
        <f>H481-(387079+500000+759061+677742+1534634+2500000+351694)/1000*$H$3</f>
        <v>67069.789999999994</v>
      </c>
    </row>
    <row r="482" spans="1:9" ht="60" x14ac:dyDescent="0.2">
      <c r="A482" s="522">
        <v>459</v>
      </c>
      <c r="B482" s="537" t="s">
        <v>2085</v>
      </c>
      <c r="C482" s="520" t="s">
        <v>3907</v>
      </c>
      <c r="D482" s="519" t="s">
        <v>2102</v>
      </c>
      <c r="E482" s="520" t="s">
        <v>2101</v>
      </c>
      <c r="F482" s="113" t="s">
        <v>1636</v>
      </c>
      <c r="G482" s="113" t="s">
        <v>1643</v>
      </c>
      <c r="H482" s="534">
        <f>(357374)/1000*$H$3</f>
        <v>357.37400000000002</v>
      </c>
      <c r="I482" s="534">
        <f>H482-(0/1000*$H$3)</f>
        <v>357.37400000000002</v>
      </c>
    </row>
    <row r="483" spans="1:9" ht="72" x14ac:dyDescent="0.2">
      <c r="A483" s="522">
        <v>460</v>
      </c>
      <c r="B483" s="537" t="s">
        <v>3446</v>
      </c>
      <c r="C483" s="520" t="s">
        <v>4003</v>
      </c>
      <c r="D483" s="519" t="s">
        <v>1859</v>
      </c>
      <c r="E483" s="520" t="s">
        <v>1864</v>
      </c>
      <c r="F483" s="113" t="s">
        <v>1636</v>
      </c>
      <c r="G483" s="518" t="s">
        <v>1596</v>
      </c>
      <c r="H483" s="534">
        <f>(5214760)/1000*$H$3</f>
        <v>5214.76</v>
      </c>
      <c r="I483" s="534">
        <f>H483-(0)/1000*$H$3</f>
        <v>5214.76</v>
      </c>
    </row>
    <row r="484" spans="1:9" ht="109.5" customHeight="1" x14ac:dyDescent="0.2">
      <c r="A484" s="522">
        <v>461</v>
      </c>
      <c r="B484" s="537" t="s">
        <v>3446</v>
      </c>
      <c r="C484" s="520" t="s">
        <v>4003</v>
      </c>
      <c r="D484" s="519" t="s">
        <v>1860</v>
      </c>
      <c r="E484" s="520" t="s">
        <v>1866</v>
      </c>
      <c r="F484" s="113" t="s">
        <v>1636</v>
      </c>
      <c r="G484" s="518" t="s">
        <v>1636</v>
      </c>
      <c r="H484" s="534">
        <f>(495580.5)/1000*$H$3</f>
        <v>495.58049999999997</v>
      </c>
      <c r="I484" s="534">
        <f>H484-(0)/1000*$H$3</f>
        <v>495.58049999999997</v>
      </c>
    </row>
    <row r="485" spans="1:9" ht="120" x14ac:dyDescent="0.2">
      <c r="A485" s="522">
        <v>462</v>
      </c>
      <c r="B485" s="537" t="s">
        <v>4005</v>
      </c>
      <c r="C485" s="517" t="s">
        <v>4004</v>
      </c>
      <c r="D485" s="516" t="s">
        <v>2442</v>
      </c>
      <c r="E485" s="520" t="s">
        <v>2440</v>
      </c>
      <c r="F485" s="113" t="s">
        <v>1636</v>
      </c>
      <c r="G485" s="113" t="s">
        <v>1743</v>
      </c>
      <c r="H485" s="534">
        <f>(44416464.29)/1000*$H$3</f>
        <v>44416.464289999996</v>
      </c>
      <c r="I485" s="534">
        <f>H485-(563141)/1000*$H$3</f>
        <v>43853.323289999993</v>
      </c>
    </row>
    <row r="486" spans="1:9" ht="96" x14ac:dyDescent="0.2">
      <c r="A486" s="522">
        <v>463</v>
      </c>
      <c r="B486" s="537" t="s">
        <v>3728</v>
      </c>
      <c r="C486" s="520" t="s">
        <v>3855</v>
      </c>
      <c r="D486" s="519" t="s">
        <v>1601</v>
      </c>
      <c r="E486" s="521" t="s">
        <v>1595</v>
      </c>
      <c r="F486" s="113" t="s">
        <v>1596</v>
      </c>
      <c r="G486" s="518" t="s">
        <v>2977</v>
      </c>
      <c r="H486" s="534">
        <f>(850000)/1000*$H$3</f>
        <v>850</v>
      </c>
      <c r="I486" s="534">
        <f>H486-(0)/1000*$H$3</f>
        <v>850</v>
      </c>
    </row>
    <row r="487" spans="1:9" ht="120" x14ac:dyDescent="0.2">
      <c r="A487" s="522">
        <v>464</v>
      </c>
      <c r="B487" s="537" t="s">
        <v>4006</v>
      </c>
      <c r="C487" s="520" t="s">
        <v>3752</v>
      </c>
      <c r="D487" s="519" t="s">
        <v>3029</v>
      </c>
      <c r="E487" s="520" t="s">
        <v>3030</v>
      </c>
      <c r="F487" s="113" t="s">
        <v>1596</v>
      </c>
      <c r="G487" s="113" t="s">
        <v>1944</v>
      </c>
      <c r="H487" s="534">
        <f>950000*$I$3/1000</f>
        <v>950</v>
      </c>
      <c r="I487" s="534">
        <f>H487-(285000)/1000*$I$3</f>
        <v>665</v>
      </c>
    </row>
    <row r="488" spans="1:9" ht="96" x14ac:dyDescent="0.2">
      <c r="A488" s="522">
        <v>465</v>
      </c>
      <c r="B488" s="537" t="s">
        <v>4007</v>
      </c>
      <c r="C488" s="520" t="s">
        <v>4008</v>
      </c>
      <c r="D488" s="519" t="s">
        <v>2489</v>
      </c>
      <c r="E488" s="520" t="s">
        <v>4009</v>
      </c>
      <c r="F488" s="113" t="s">
        <v>1596</v>
      </c>
      <c r="G488" s="518" t="s">
        <v>1643</v>
      </c>
      <c r="H488" s="534">
        <f>(127293)/1000*$H$3</f>
        <v>127.29300000000001</v>
      </c>
      <c r="I488" s="534">
        <f t="shared" ref="I488:I494" si="22">H488-(0)/1000*$H$3</f>
        <v>127.29300000000001</v>
      </c>
    </row>
    <row r="489" spans="1:9" ht="72" x14ac:dyDescent="0.2">
      <c r="A489" s="522">
        <v>466</v>
      </c>
      <c r="B489" s="537" t="s">
        <v>3337</v>
      </c>
      <c r="C489" s="520" t="s">
        <v>4010</v>
      </c>
      <c r="D489" s="519" t="s">
        <v>1956</v>
      </c>
      <c r="E489" s="520" t="s">
        <v>4011</v>
      </c>
      <c r="F489" s="113" t="s">
        <v>1596</v>
      </c>
      <c r="G489" s="518" t="s">
        <v>1596</v>
      </c>
      <c r="H489" s="534">
        <f>(412825.22)/1000*$H$3</f>
        <v>412.82521999999994</v>
      </c>
      <c r="I489" s="534">
        <f t="shared" si="22"/>
        <v>412.82521999999994</v>
      </c>
    </row>
    <row r="490" spans="1:9" ht="132" x14ac:dyDescent="0.2">
      <c r="A490" s="522">
        <v>467</v>
      </c>
      <c r="B490" s="537" t="s">
        <v>4012</v>
      </c>
      <c r="C490" s="520" t="s">
        <v>4013</v>
      </c>
      <c r="D490" s="519" t="s">
        <v>1646</v>
      </c>
      <c r="E490" s="520" t="s">
        <v>1647</v>
      </c>
      <c r="F490" s="113" t="s">
        <v>1643</v>
      </c>
      <c r="G490" s="113" t="s">
        <v>1527</v>
      </c>
      <c r="H490" s="534">
        <f>(370000)/1000*$H$3</f>
        <v>370</v>
      </c>
      <c r="I490" s="534">
        <f t="shared" si="22"/>
        <v>370</v>
      </c>
    </row>
    <row r="491" spans="1:9" ht="132" x14ac:dyDescent="0.2">
      <c r="A491" s="522">
        <v>468</v>
      </c>
      <c r="B491" s="537" t="s">
        <v>3593</v>
      </c>
      <c r="C491" s="520" t="s">
        <v>4014</v>
      </c>
      <c r="D491" s="519" t="s">
        <v>1640</v>
      </c>
      <c r="E491" s="520" t="s">
        <v>4015</v>
      </c>
      <c r="F491" s="113" t="s">
        <v>1643</v>
      </c>
      <c r="G491" s="518" t="s">
        <v>2992</v>
      </c>
      <c r="H491" s="534">
        <f>(350000)/1000*$H$3</f>
        <v>350</v>
      </c>
      <c r="I491" s="534">
        <f t="shared" si="22"/>
        <v>350</v>
      </c>
    </row>
    <row r="492" spans="1:9" ht="108" x14ac:dyDescent="0.2">
      <c r="A492" s="522">
        <v>469</v>
      </c>
      <c r="B492" s="537" t="s">
        <v>4016</v>
      </c>
      <c r="C492" s="520" t="s">
        <v>4017</v>
      </c>
      <c r="D492" s="519" t="s">
        <v>1735</v>
      </c>
      <c r="E492" s="520" t="s">
        <v>1736</v>
      </c>
      <c r="F492" s="113" t="s">
        <v>1643</v>
      </c>
      <c r="G492" s="113" t="s">
        <v>1737</v>
      </c>
      <c r="H492" s="534">
        <f>(1340000)/1000*$H$3</f>
        <v>1340</v>
      </c>
      <c r="I492" s="534">
        <f t="shared" si="22"/>
        <v>1340</v>
      </c>
    </row>
    <row r="493" spans="1:9" ht="96" x14ac:dyDescent="0.2">
      <c r="A493" s="522">
        <v>470</v>
      </c>
      <c r="B493" s="538" t="s">
        <v>4018</v>
      </c>
      <c r="C493" s="520" t="s">
        <v>4019</v>
      </c>
      <c r="D493" s="519" t="s">
        <v>2544</v>
      </c>
      <c r="E493" s="520" t="s">
        <v>2545</v>
      </c>
      <c r="F493" s="113" t="s">
        <v>1643</v>
      </c>
      <c r="G493" s="113" t="s">
        <v>3023</v>
      </c>
      <c r="H493" s="534">
        <f>(21438125)/1000*$I$3</f>
        <v>21438.125</v>
      </c>
      <c r="I493" s="534">
        <f t="shared" si="22"/>
        <v>21438.125</v>
      </c>
    </row>
    <row r="494" spans="1:9" ht="168" x14ac:dyDescent="0.2">
      <c r="A494" s="522">
        <v>471</v>
      </c>
      <c r="B494" s="538" t="s">
        <v>4018</v>
      </c>
      <c r="C494" s="520" t="s">
        <v>4020</v>
      </c>
      <c r="D494" s="519" t="s">
        <v>2551</v>
      </c>
      <c r="E494" s="520" t="s">
        <v>2547</v>
      </c>
      <c r="F494" s="113" t="s">
        <v>1643</v>
      </c>
      <c r="G494" s="113" t="s">
        <v>1527</v>
      </c>
      <c r="H494" s="534">
        <f>(829621)/1000*$H$3</f>
        <v>829.62099999999998</v>
      </c>
      <c r="I494" s="534">
        <f t="shared" si="22"/>
        <v>829.62099999999998</v>
      </c>
    </row>
    <row r="495" spans="1:9" ht="96" x14ac:dyDescent="0.2">
      <c r="A495" s="522">
        <v>472</v>
      </c>
      <c r="B495" s="537" t="s">
        <v>4022</v>
      </c>
      <c r="C495" s="520" t="s">
        <v>4021</v>
      </c>
      <c r="D495" s="519" t="s">
        <v>1942</v>
      </c>
      <c r="E495" s="520" t="s">
        <v>1938</v>
      </c>
      <c r="F495" s="113" t="s">
        <v>1643</v>
      </c>
      <c r="G495" s="518" t="s">
        <v>1944</v>
      </c>
      <c r="H495" s="534">
        <f>(54199239.44)/1000*$H$3</f>
        <v>54199.239439999998</v>
      </c>
      <c r="I495" s="534">
        <f>H495-(11063399)/1000*$H$3-5732165/1000*$I$3</f>
        <v>37403.675439999999</v>
      </c>
    </row>
    <row r="496" spans="1:9" ht="108" x14ac:dyDescent="0.2">
      <c r="A496" s="522">
        <v>473</v>
      </c>
      <c r="B496" s="537" t="s">
        <v>4023</v>
      </c>
      <c r="C496" s="517" t="s">
        <v>4024</v>
      </c>
      <c r="D496" s="516" t="s">
        <v>2493</v>
      </c>
      <c r="E496" s="520" t="s">
        <v>2490</v>
      </c>
      <c r="F496" s="113" t="s">
        <v>1643</v>
      </c>
      <c r="G496" s="113" t="s">
        <v>1527</v>
      </c>
      <c r="H496" s="534">
        <f>(338983)/1000*$H$3</f>
        <v>338.983</v>
      </c>
      <c r="I496" s="534">
        <f>H496-(0)/1000*$H$3</f>
        <v>338.983</v>
      </c>
    </row>
    <row r="497" spans="1:9" ht="132" x14ac:dyDescent="0.2">
      <c r="A497" s="522">
        <v>474</v>
      </c>
      <c r="B497" s="537" t="s">
        <v>4025</v>
      </c>
      <c r="C497" s="517" t="s">
        <v>4026</v>
      </c>
      <c r="D497" s="516" t="s">
        <v>2495</v>
      </c>
      <c r="E497" s="520" t="s">
        <v>2494</v>
      </c>
      <c r="F497" s="113" t="s">
        <v>1643</v>
      </c>
      <c r="G497" s="113" t="s">
        <v>1527</v>
      </c>
      <c r="H497" s="534">
        <f>(855954)/1000*$H$3</f>
        <v>855.95399999999995</v>
      </c>
      <c r="I497" s="534">
        <f>H497-(0)/1000*$H$3</f>
        <v>855.95399999999995</v>
      </c>
    </row>
    <row r="498" spans="1:9" ht="60" x14ac:dyDescent="0.2">
      <c r="A498" s="522">
        <v>475</v>
      </c>
      <c r="B498" s="539" t="s">
        <v>3723</v>
      </c>
      <c r="C498" s="520" t="s">
        <v>3724</v>
      </c>
      <c r="D498" s="519" t="s">
        <v>2153</v>
      </c>
      <c r="E498" s="520" t="s">
        <v>2198</v>
      </c>
      <c r="F498" s="113" t="s">
        <v>1643</v>
      </c>
      <c r="G498" s="113" t="s">
        <v>1643</v>
      </c>
      <c r="H498" s="534">
        <f>(107436)/1000*$H$3</f>
        <v>107.43600000000001</v>
      </c>
      <c r="I498" s="534">
        <f>H498-(0)/1000*$H$3</f>
        <v>107.43600000000001</v>
      </c>
    </row>
    <row r="499" spans="1:9" ht="108" x14ac:dyDescent="0.2">
      <c r="A499" s="522">
        <v>476</v>
      </c>
      <c r="B499" s="537" t="s">
        <v>4027</v>
      </c>
      <c r="C499" s="520" t="s">
        <v>4028</v>
      </c>
      <c r="D499" s="519" t="s">
        <v>1739</v>
      </c>
      <c r="E499" s="520" t="s">
        <v>4029</v>
      </c>
      <c r="F499" s="518" t="s">
        <v>1643</v>
      </c>
      <c r="G499" s="518" t="s">
        <v>3278</v>
      </c>
      <c r="H499" s="534">
        <f>(14100000)/1000*$H$3</f>
        <v>14100</v>
      </c>
      <c r="I499" s="534">
        <f>(14100000)/1000*$H$3</f>
        <v>14100</v>
      </c>
    </row>
    <row r="500" spans="1:9" ht="60" x14ac:dyDescent="0.2">
      <c r="A500" s="522">
        <v>477</v>
      </c>
      <c r="B500" s="537" t="s">
        <v>4030</v>
      </c>
      <c r="C500" s="520" t="s">
        <v>3874</v>
      </c>
      <c r="D500" s="519" t="s">
        <v>3103</v>
      </c>
      <c r="E500" s="521" t="s">
        <v>4031</v>
      </c>
      <c r="F500" s="113" t="s">
        <v>1603</v>
      </c>
      <c r="G500" s="113" t="s">
        <v>3037</v>
      </c>
      <c r="H500" s="534">
        <f>(9199607)/1000*$I$3</f>
        <v>9199.607</v>
      </c>
      <c r="I500" s="534">
        <f>H500-(513742)/1000*$I$3</f>
        <v>8685.8649999999998</v>
      </c>
    </row>
    <row r="501" spans="1:9" ht="96" x14ac:dyDescent="0.2">
      <c r="A501" s="522">
        <v>478</v>
      </c>
      <c r="B501" s="537" t="s">
        <v>4032</v>
      </c>
      <c r="C501" s="520" t="s">
        <v>3855</v>
      </c>
      <c r="D501" s="519" t="s">
        <v>1602</v>
      </c>
      <c r="E501" s="521" t="s">
        <v>1599</v>
      </c>
      <c r="F501" s="113" t="s">
        <v>1603</v>
      </c>
      <c r="G501" s="518" t="s">
        <v>2977</v>
      </c>
      <c r="H501" s="534">
        <f>(1470000)/1000*$H$3</f>
        <v>1470</v>
      </c>
      <c r="I501" s="534">
        <f>H501-(0)/1000*$H$3</f>
        <v>1470</v>
      </c>
    </row>
    <row r="502" spans="1:9" ht="132" x14ac:dyDescent="0.2">
      <c r="A502" s="522">
        <v>479</v>
      </c>
      <c r="B502" s="537" t="s">
        <v>4033</v>
      </c>
      <c r="C502" s="520" t="s">
        <v>4034</v>
      </c>
      <c r="D502" s="519" t="s">
        <v>1659</v>
      </c>
      <c r="E502" s="520" t="s">
        <v>4035</v>
      </c>
      <c r="F502" s="113" t="s">
        <v>1603</v>
      </c>
      <c r="G502" s="113" t="s">
        <v>1527</v>
      </c>
      <c r="H502" s="534">
        <f>(1428775.62)/1000*$H$3</f>
        <v>1428.7756200000001</v>
      </c>
      <c r="I502" s="534">
        <f>H502-(0)/1000*$H$3</f>
        <v>1428.7756200000001</v>
      </c>
    </row>
    <row r="503" spans="1:9" ht="108" x14ac:dyDescent="0.2">
      <c r="A503" s="522">
        <v>480</v>
      </c>
      <c r="B503" s="537" t="s">
        <v>3801</v>
      </c>
      <c r="C503" s="520" t="s">
        <v>4036</v>
      </c>
      <c r="D503" s="519" t="s">
        <v>1738</v>
      </c>
      <c r="E503" s="520" t="s">
        <v>1741</v>
      </c>
      <c r="F503" s="113" t="s">
        <v>1603</v>
      </c>
      <c r="G503" s="113" t="s">
        <v>1742</v>
      </c>
      <c r="H503" s="534">
        <f>(5100000)/1000*$H$3</f>
        <v>5100</v>
      </c>
      <c r="I503" s="534">
        <f>H503-(428527)/1000*$H$3</f>
        <v>4671.473</v>
      </c>
    </row>
    <row r="504" spans="1:9" ht="120" x14ac:dyDescent="0.2">
      <c r="A504" s="522">
        <v>481</v>
      </c>
      <c r="B504" s="537" t="s">
        <v>4037</v>
      </c>
      <c r="C504" s="520" t="s">
        <v>4038</v>
      </c>
      <c r="D504" s="519" t="s">
        <v>2399</v>
      </c>
      <c r="E504" s="520" t="s">
        <v>2400</v>
      </c>
      <c r="F504" s="113" t="s">
        <v>1603</v>
      </c>
      <c r="G504" s="113" t="s">
        <v>1527</v>
      </c>
      <c r="H504" s="534">
        <f>(7000000/1000*$H$3)</f>
        <v>7000</v>
      </c>
      <c r="I504" s="534">
        <f>H504-(2657976)/1000*$H$3</f>
        <v>4342.0239999999994</v>
      </c>
    </row>
    <row r="505" spans="1:9" ht="120" x14ac:dyDescent="0.2">
      <c r="A505" s="522">
        <v>482</v>
      </c>
      <c r="B505" s="537" t="s">
        <v>4040</v>
      </c>
      <c r="C505" s="517" t="s">
        <v>4039</v>
      </c>
      <c r="D505" s="516" t="s">
        <v>2540</v>
      </c>
      <c r="E505" s="520" t="s">
        <v>2538</v>
      </c>
      <c r="F505" s="113" t="s">
        <v>1603</v>
      </c>
      <c r="G505" s="113" t="s">
        <v>2245</v>
      </c>
      <c r="H505" s="534">
        <f>(6100000)/1000*$H$3</f>
        <v>6100</v>
      </c>
      <c r="I505" s="534">
        <f>H505-(1438763+430000)/1000*$H$3</f>
        <v>4231.2370000000001</v>
      </c>
    </row>
    <row r="506" spans="1:9" ht="60" x14ac:dyDescent="0.2">
      <c r="A506" s="522">
        <v>483</v>
      </c>
      <c r="B506" s="537" t="s">
        <v>4041</v>
      </c>
      <c r="C506" s="520" t="s">
        <v>3926</v>
      </c>
      <c r="D506" s="519" t="s">
        <v>2433</v>
      </c>
      <c r="E506" s="520" t="s">
        <v>2431</v>
      </c>
      <c r="F506" s="113" t="s">
        <v>1737</v>
      </c>
      <c r="G506" s="518" t="s">
        <v>1527</v>
      </c>
      <c r="H506" s="534">
        <f>(92796.61)/1000*$H$3</f>
        <v>92.796610000000001</v>
      </c>
      <c r="I506" s="534">
        <f>H506-(0)/1000*$H$3</f>
        <v>92.796610000000001</v>
      </c>
    </row>
    <row r="507" spans="1:9" ht="72" x14ac:dyDescent="0.2">
      <c r="A507" s="522">
        <v>484</v>
      </c>
      <c r="B507" s="537" t="s">
        <v>3337</v>
      </c>
      <c r="C507" s="520" t="s">
        <v>4042</v>
      </c>
      <c r="D507" s="519" t="s">
        <v>1957</v>
      </c>
      <c r="E507" s="520" t="s">
        <v>1959</v>
      </c>
      <c r="F507" s="113" t="s">
        <v>1527</v>
      </c>
      <c r="G507" s="518" t="s">
        <v>1960</v>
      </c>
      <c r="H507" s="534">
        <f>(402351)/1000*$H$3</f>
        <v>402.351</v>
      </c>
      <c r="I507" s="534">
        <f>H507-(0)/1000*$H$3</f>
        <v>402.351</v>
      </c>
    </row>
    <row r="508" spans="1:9" ht="48" x14ac:dyDescent="0.2">
      <c r="A508" s="522">
        <v>485</v>
      </c>
      <c r="B508" s="539" t="s">
        <v>4043</v>
      </c>
      <c r="C508" s="520" t="s">
        <v>4044</v>
      </c>
      <c r="D508" s="519" t="s">
        <v>2552</v>
      </c>
      <c r="E508" s="520" t="s">
        <v>2553</v>
      </c>
      <c r="F508" s="113" t="s">
        <v>1527</v>
      </c>
      <c r="G508" s="113" t="s">
        <v>1527</v>
      </c>
      <c r="H508" s="534">
        <f>(89448)/1000*$H$3</f>
        <v>89.447999999999993</v>
      </c>
      <c r="I508" s="534">
        <f>H508-(0)/1000*$H$3</f>
        <v>89.447999999999993</v>
      </c>
    </row>
    <row r="509" spans="1:9" ht="144" x14ac:dyDescent="0.2">
      <c r="A509" s="522">
        <v>486</v>
      </c>
      <c r="B509" s="537" t="s">
        <v>3824</v>
      </c>
      <c r="C509" s="520" t="s">
        <v>4045</v>
      </c>
      <c r="D509" s="519" t="s">
        <v>3193</v>
      </c>
      <c r="E509" s="520" t="s">
        <v>3195</v>
      </c>
      <c r="F509" s="113" t="s">
        <v>1960</v>
      </c>
      <c r="G509" s="113" t="s">
        <v>1960</v>
      </c>
      <c r="H509" s="534">
        <f>(752674)/1000*$I$3</f>
        <v>752.67399999999998</v>
      </c>
      <c r="I509" s="534">
        <f>H509-(0)/1000*$I$3</f>
        <v>752.67399999999998</v>
      </c>
    </row>
    <row r="510" spans="1:9" ht="168" x14ac:dyDescent="0.2">
      <c r="A510" s="522">
        <v>487</v>
      </c>
      <c r="B510" s="537" t="s">
        <v>3801</v>
      </c>
      <c r="C510" s="520" t="s">
        <v>4224</v>
      </c>
      <c r="D510" s="519" t="s">
        <v>3090</v>
      </c>
      <c r="E510" s="520" t="s">
        <v>4046</v>
      </c>
      <c r="F510" s="113" t="s">
        <v>3037</v>
      </c>
      <c r="G510" s="518" t="s">
        <v>3280</v>
      </c>
      <c r="H510" s="534">
        <f>161350306*$I$3/1000</f>
        <v>161350.30600000001</v>
      </c>
      <c r="I510" s="534">
        <f>H510-(5618585+16329718+2867046+890214)/1000*$I$3</f>
        <v>135644.74300000002</v>
      </c>
    </row>
    <row r="511" spans="1:9" ht="72" x14ac:dyDescent="0.2">
      <c r="A511" s="522">
        <v>488</v>
      </c>
      <c r="B511" s="537" t="s">
        <v>3337</v>
      </c>
      <c r="C511" s="520" t="s">
        <v>4047</v>
      </c>
      <c r="D511" s="519" t="s">
        <v>3158</v>
      </c>
      <c r="E511" s="520" t="s">
        <v>4048</v>
      </c>
      <c r="F511" s="113" t="s">
        <v>3037</v>
      </c>
      <c r="G511" s="518" t="s">
        <v>2245</v>
      </c>
      <c r="H511" s="534">
        <f>(560000)/1000*$I$3</f>
        <v>560</v>
      </c>
      <c r="I511" s="534">
        <f>H511-(0)/1000*$I$3</f>
        <v>560</v>
      </c>
    </row>
    <row r="512" spans="1:9" ht="120" x14ac:dyDescent="0.2">
      <c r="A512" s="522">
        <v>489</v>
      </c>
      <c r="B512" s="537" t="s">
        <v>3848</v>
      </c>
      <c r="C512" s="520" t="s">
        <v>3752</v>
      </c>
      <c r="D512" s="519" t="s">
        <v>3034</v>
      </c>
      <c r="E512" s="520" t="s">
        <v>3035</v>
      </c>
      <c r="F512" s="113" t="s">
        <v>3037</v>
      </c>
      <c r="G512" s="518" t="s">
        <v>3281</v>
      </c>
      <c r="H512" s="534">
        <f>2050000*$I$3/1000</f>
        <v>2050</v>
      </c>
      <c r="I512" s="534">
        <f>H512-(140000)/1000*$H$3</f>
        <v>1910</v>
      </c>
    </row>
    <row r="513" spans="1:9" ht="120" x14ac:dyDescent="0.2">
      <c r="A513" s="522">
        <v>490</v>
      </c>
      <c r="B513" s="537" t="s">
        <v>3798</v>
      </c>
      <c r="C513" s="520" t="s">
        <v>4049</v>
      </c>
      <c r="D513" s="519" t="s">
        <v>3011</v>
      </c>
      <c r="E513" s="520" t="s">
        <v>3017</v>
      </c>
      <c r="F513" s="113" t="s">
        <v>1742</v>
      </c>
      <c r="G513" s="113" t="s">
        <v>2245</v>
      </c>
      <c r="H513" s="534">
        <f>3200000*$I$3/1000</f>
        <v>3200</v>
      </c>
      <c r="I513" s="534">
        <f>H513-(0)/1000*$I$3</f>
        <v>3200</v>
      </c>
    </row>
    <row r="514" spans="1:9" ht="60" x14ac:dyDescent="0.2">
      <c r="A514" s="522">
        <v>491</v>
      </c>
      <c r="B514" s="537" t="s">
        <v>4050</v>
      </c>
      <c r="C514" s="520" t="s">
        <v>4051</v>
      </c>
      <c r="D514" s="519" t="s">
        <v>3166</v>
      </c>
      <c r="E514" s="520" t="s">
        <v>3164</v>
      </c>
      <c r="F514" s="113" t="s">
        <v>1742</v>
      </c>
      <c r="G514" s="113" t="s">
        <v>3167</v>
      </c>
      <c r="H514" s="534">
        <f>274335250*$I$3/1000</f>
        <v>274335.25</v>
      </c>
      <c r="I514" s="534">
        <f>H514-(47806760+47248846)/1000*$H$3</f>
        <v>179279.644</v>
      </c>
    </row>
    <row r="515" spans="1:9" ht="60" x14ac:dyDescent="0.2">
      <c r="A515" s="522">
        <v>492</v>
      </c>
      <c r="B515" s="539" t="s">
        <v>4052</v>
      </c>
      <c r="C515" s="520" t="s">
        <v>4053</v>
      </c>
      <c r="D515" s="519" t="s">
        <v>3203</v>
      </c>
      <c r="E515" s="520" t="s">
        <v>4054</v>
      </c>
      <c r="F515" s="113" t="s">
        <v>1742</v>
      </c>
      <c r="G515" s="113" t="s">
        <v>1944</v>
      </c>
      <c r="H515" s="534">
        <f>(506471)/1000*$I$3</f>
        <v>506.471</v>
      </c>
      <c r="I515" s="534">
        <f>H515-(0)/1000*$I$3</f>
        <v>506.471</v>
      </c>
    </row>
    <row r="516" spans="1:9" ht="132" x14ac:dyDescent="0.2">
      <c r="A516" s="522">
        <v>493</v>
      </c>
      <c r="B516" s="537" t="s">
        <v>3484</v>
      </c>
      <c r="C516" s="520" t="s">
        <v>4055</v>
      </c>
      <c r="D516" s="519" t="s">
        <v>2986</v>
      </c>
      <c r="E516" s="520" t="s">
        <v>4056</v>
      </c>
      <c r="F516" s="113" t="s">
        <v>1944</v>
      </c>
      <c r="G516" s="113" t="s">
        <v>2104</v>
      </c>
      <c r="H516" s="534">
        <f>2850000*$I$3/1000</f>
        <v>2850</v>
      </c>
      <c r="I516" s="534">
        <f>H516-(0)/1000*$I$3</f>
        <v>2850</v>
      </c>
    </row>
    <row r="517" spans="1:9" ht="120" x14ac:dyDescent="0.2">
      <c r="A517" s="522">
        <v>494</v>
      </c>
      <c r="B517" s="537" t="s">
        <v>4057</v>
      </c>
      <c r="C517" s="520" t="s">
        <v>3752</v>
      </c>
      <c r="D517" s="519" t="s">
        <v>3041</v>
      </c>
      <c r="E517" s="520" t="s">
        <v>3042</v>
      </c>
      <c r="F517" s="113" t="s">
        <v>1944</v>
      </c>
      <c r="G517" s="518" t="s">
        <v>2104</v>
      </c>
      <c r="H517" s="534">
        <f>4083840*$I$3/1000</f>
        <v>4083.84</v>
      </c>
      <c r="I517" s="534">
        <f>H517-(0)/1000*$I$3</f>
        <v>4083.84</v>
      </c>
    </row>
    <row r="518" spans="1:9" ht="120" x14ac:dyDescent="0.2">
      <c r="A518" s="522">
        <v>495</v>
      </c>
      <c r="B518" s="537" t="s">
        <v>4058</v>
      </c>
      <c r="C518" s="520" t="s">
        <v>3752</v>
      </c>
      <c r="D518" s="519" t="s">
        <v>3044</v>
      </c>
      <c r="E518" s="520" t="s">
        <v>3043</v>
      </c>
      <c r="F518" s="113" t="s">
        <v>1944</v>
      </c>
      <c r="G518" s="518" t="s">
        <v>2989</v>
      </c>
      <c r="H518" s="534">
        <f>2608760*$I$3/1000</f>
        <v>2608.7600000000002</v>
      </c>
      <c r="I518" s="534">
        <f>H518-(0)/1000*$I$3</f>
        <v>2608.7600000000002</v>
      </c>
    </row>
    <row r="519" spans="1:9" ht="120" x14ac:dyDescent="0.2">
      <c r="A519" s="522">
        <v>496</v>
      </c>
      <c r="B519" s="537" t="s">
        <v>4059</v>
      </c>
      <c r="C519" s="520" t="s">
        <v>3752</v>
      </c>
      <c r="D519" s="519" t="s">
        <v>3050</v>
      </c>
      <c r="E519" s="520" t="s">
        <v>4060</v>
      </c>
      <c r="F519" s="113" t="s">
        <v>1944</v>
      </c>
      <c r="G519" s="518" t="s">
        <v>2245</v>
      </c>
      <c r="H519" s="534">
        <f>1904000*$I$3/1000</f>
        <v>1904</v>
      </c>
      <c r="I519" s="534">
        <f>H519-(60000)/1000*$I$3</f>
        <v>1844</v>
      </c>
    </row>
    <row r="520" spans="1:9" ht="108" x14ac:dyDescent="0.2">
      <c r="A520" s="522">
        <v>497</v>
      </c>
      <c r="B520" s="537" t="s">
        <v>4061</v>
      </c>
      <c r="C520" s="520" t="s">
        <v>4062</v>
      </c>
      <c r="D520" s="519" t="s">
        <v>3072</v>
      </c>
      <c r="E520" s="520" t="s">
        <v>3073</v>
      </c>
      <c r="F520" s="113" t="s">
        <v>1944</v>
      </c>
      <c r="G520" s="113" t="s">
        <v>2245</v>
      </c>
      <c r="H520" s="534">
        <f>(3950000)/1000*$I$3</f>
        <v>3950</v>
      </c>
      <c r="I520" s="534">
        <f>H520-(0)/1000*$I$3</f>
        <v>3950</v>
      </c>
    </row>
    <row r="521" spans="1:9" ht="72" x14ac:dyDescent="0.2">
      <c r="A521" s="522">
        <v>498</v>
      </c>
      <c r="B521" s="537" t="s">
        <v>4063</v>
      </c>
      <c r="C521" s="520" t="s">
        <v>4064</v>
      </c>
      <c r="D521" s="519" t="s">
        <v>3187</v>
      </c>
      <c r="E521" s="520" t="s">
        <v>4713</v>
      </c>
      <c r="F521" s="113" t="s">
        <v>1944</v>
      </c>
      <c r="G521" s="113" t="s">
        <v>3167</v>
      </c>
      <c r="H521" s="534">
        <f>703361097/1000*$I$3</f>
        <v>703361.09699999995</v>
      </c>
      <c r="I521" s="534">
        <f>H521-(71078460+383573)/1000*$H$3</f>
        <v>631899.06400000001</v>
      </c>
    </row>
    <row r="522" spans="1:9" ht="72" x14ac:dyDescent="0.2">
      <c r="A522" s="522">
        <v>499</v>
      </c>
      <c r="B522" s="537" t="s">
        <v>3337</v>
      </c>
      <c r="C522" s="520" t="s">
        <v>4065</v>
      </c>
      <c r="D522" s="519" t="s">
        <v>3146</v>
      </c>
      <c r="E522" s="520" t="s">
        <v>3149</v>
      </c>
      <c r="F522" s="113" t="s">
        <v>1944</v>
      </c>
      <c r="G522" s="518" t="s">
        <v>3280</v>
      </c>
      <c r="H522" s="534">
        <f>(14000000)/1000*$I$3</f>
        <v>14000</v>
      </c>
      <c r="I522" s="534">
        <f>H522-(0)/1000*$I$3</f>
        <v>14000</v>
      </c>
    </row>
    <row r="523" spans="1:9" ht="120" x14ac:dyDescent="0.2">
      <c r="A523" s="522">
        <v>500</v>
      </c>
      <c r="B523" s="537" t="s">
        <v>4066</v>
      </c>
      <c r="C523" s="520" t="s">
        <v>3752</v>
      </c>
      <c r="D523" s="519" t="s">
        <v>3054</v>
      </c>
      <c r="E523" s="520" t="s">
        <v>4067</v>
      </c>
      <c r="F523" s="113" t="s">
        <v>1944</v>
      </c>
      <c r="G523" s="518" t="s">
        <v>3283</v>
      </c>
      <c r="H523" s="534">
        <f>2100000*$I$3/1000</f>
        <v>2100</v>
      </c>
      <c r="I523" s="534">
        <f>H523-(75000)/1000*$I$3</f>
        <v>2025</v>
      </c>
    </row>
    <row r="524" spans="1:9" ht="64.5" customHeight="1" x14ac:dyDescent="0.2">
      <c r="A524" s="522">
        <v>501</v>
      </c>
      <c r="B524" s="537" t="s">
        <v>3302</v>
      </c>
      <c r="C524" s="520" t="s">
        <v>3874</v>
      </c>
      <c r="D524" s="519" t="s">
        <v>3099</v>
      </c>
      <c r="E524" s="521" t="s">
        <v>3100</v>
      </c>
      <c r="F524" s="113" t="s">
        <v>3086</v>
      </c>
      <c r="G524" s="113" t="s">
        <v>2104</v>
      </c>
      <c r="H524" s="534">
        <f>(5851629)/1000*$I$3</f>
        <v>5851.6289999999999</v>
      </c>
      <c r="I524" s="534">
        <f>H524-(491210)/1000*$I$3</f>
        <v>5360.4189999999999</v>
      </c>
    </row>
    <row r="525" spans="1:9" ht="108" x14ac:dyDescent="0.2">
      <c r="A525" s="522">
        <v>502</v>
      </c>
      <c r="B525" s="537" t="s">
        <v>3893</v>
      </c>
      <c r="C525" s="520" t="s">
        <v>4068</v>
      </c>
      <c r="D525" s="519" t="s">
        <v>3080</v>
      </c>
      <c r="E525" s="520" t="s">
        <v>3083</v>
      </c>
      <c r="F525" s="518" t="s">
        <v>3086</v>
      </c>
      <c r="G525" s="113" t="s">
        <v>1743</v>
      </c>
      <c r="H525" s="534">
        <f>(994181.95)/1000*$I$3</f>
        <v>994.18194999999992</v>
      </c>
      <c r="I525" s="534">
        <f>H525-(0)/1000*$I$3</f>
        <v>994.18194999999992</v>
      </c>
    </row>
    <row r="526" spans="1:9" ht="84" x14ac:dyDescent="0.2">
      <c r="A526" s="522">
        <v>503</v>
      </c>
      <c r="B526" s="537" t="s">
        <v>4070</v>
      </c>
      <c r="C526" s="520" t="s">
        <v>4069</v>
      </c>
      <c r="D526" s="519" t="s">
        <v>3210</v>
      </c>
      <c r="E526" s="520" t="s">
        <v>3211</v>
      </c>
      <c r="F526" s="113" t="s">
        <v>3086</v>
      </c>
      <c r="G526" s="113" t="s">
        <v>2104</v>
      </c>
      <c r="H526" s="534">
        <f>(2486245/1000*$I$3)</f>
        <v>2486.2449999999999</v>
      </c>
      <c r="I526" s="534">
        <f>H526-(0)/1000*$I$3</f>
        <v>2486.2449999999999</v>
      </c>
    </row>
    <row r="527" spans="1:9" ht="60" x14ac:dyDescent="0.2">
      <c r="A527" s="522">
        <v>504</v>
      </c>
      <c r="B527" s="537" t="s">
        <v>4050</v>
      </c>
      <c r="C527" s="520" t="s">
        <v>3850</v>
      </c>
      <c r="D527" s="519" t="s">
        <v>3168</v>
      </c>
      <c r="E527" s="520" t="s">
        <v>3169</v>
      </c>
      <c r="F527" s="113" t="s">
        <v>3086</v>
      </c>
      <c r="G527" s="113" t="s">
        <v>2245</v>
      </c>
      <c r="H527" s="534">
        <f>416162*$I$3/1000</f>
        <v>416.16199999999998</v>
      </c>
      <c r="I527" s="534">
        <f>H527-(0)/1000*$H$3</f>
        <v>416.16199999999998</v>
      </c>
    </row>
    <row r="528" spans="1:9" ht="96" x14ac:dyDescent="0.2">
      <c r="A528" s="522">
        <v>505</v>
      </c>
      <c r="B528" s="537" t="s">
        <v>4071</v>
      </c>
      <c r="C528" s="520" t="s">
        <v>4072</v>
      </c>
      <c r="D528" s="519" t="s">
        <v>3129</v>
      </c>
      <c r="E528" s="520" t="s">
        <v>3130</v>
      </c>
      <c r="F528" s="113" t="s">
        <v>3086</v>
      </c>
      <c r="G528" s="518" t="s">
        <v>3284</v>
      </c>
      <c r="H528" s="534">
        <f>136833333/1000*$I$3</f>
        <v>136833.33300000001</v>
      </c>
      <c r="I528" s="534">
        <f>H528-(3425000+7141309)/1000*$I$3</f>
        <v>126267.02400000002</v>
      </c>
    </row>
    <row r="529" spans="1:9" ht="60" x14ac:dyDescent="0.2">
      <c r="A529" s="522">
        <v>506</v>
      </c>
      <c r="B529" s="537" t="s">
        <v>4073</v>
      </c>
      <c r="C529" s="517" t="s">
        <v>3821</v>
      </c>
      <c r="D529" s="516" t="s">
        <v>3206</v>
      </c>
      <c r="E529" s="520" t="s">
        <v>3207</v>
      </c>
      <c r="F529" s="113" t="s">
        <v>3086</v>
      </c>
      <c r="G529" s="113" t="s">
        <v>1943</v>
      </c>
      <c r="H529" s="534">
        <f>(73572.3)/1000*$I$3</f>
        <v>73.572299999999998</v>
      </c>
      <c r="I529" s="534">
        <f>H529-(0)/1000*$I$3</f>
        <v>73.572299999999998</v>
      </c>
    </row>
    <row r="530" spans="1:9" ht="96" x14ac:dyDescent="0.2">
      <c r="A530" s="522">
        <v>507</v>
      </c>
      <c r="B530" s="537" t="s">
        <v>4071</v>
      </c>
      <c r="C530" s="520" t="s">
        <v>4072</v>
      </c>
      <c r="D530" s="519" t="s">
        <v>3135</v>
      </c>
      <c r="E530" s="520" t="s">
        <v>3136</v>
      </c>
      <c r="F530" s="113" t="s">
        <v>3086</v>
      </c>
      <c r="G530" s="518" t="s">
        <v>3284</v>
      </c>
      <c r="H530" s="534">
        <f>180000000/1000*$I$3</f>
        <v>180000</v>
      </c>
      <c r="I530" s="534">
        <f>H530-(67422197)/1000*$I$3</f>
        <v>112577.803</v>
      </c>
    </row>
    <row r="531" spans="1:9" ht="120" x14ac:dyDescent="0.2">
      <c r="A531" s="522">
        <v>508</v>
      </c>
      <c r="B531" s="537" t="s">
        <v>4074</v>
      </c>
      <c r="C531" s="520" t="s">
        <v>4075</v>
      </c>
      <c r="D531" s="519" t="s">
        <v>3057</v>
      </c>
      <c r="E531" s="520" t="s">
        <v>3058</v>
      </c>
      <c r="F531" s="113" t="s">
        <v>1743</v>
      </c>
      <c r="G531" s="518" t="s">
        <v>3280</v>
      </c>
      <c r="H531" s="534">
        <f>(664753.71)/1000*$I$3</f>
        <v>664.75370999999996</v>
      </c>
      <c r="I531" s="534">
        <f>H531-(0)/1000*$I$3</f>
        <v>664.75370999999996</v>
      </c>
    </row>
    <row r="532" spans="1:9" ht="144" x14ac:dyDescent="0.2">
      <c r="A532" s="522">
        <v>509</v>
      </c>
      <c r="B532" s="537" t="s">
        <v>3824</v>
      </c>
      <c r="C532" s="520" t="s">
        <v>4076</v>
      </c>
      <c r="D532" s="519" t="s">
        <v>3194</v>
      </c>
      <c r="E532" s="520" t="s">
        <v>3196</v>
      </c>
      <c r="F532" s="113" t="s">
        <v>1743</v>
      </c>
      <c r="G532" s="113" t="s">
        <v>1743</v>
      </c>
      <c r="H532" s="534">
        <f>(1209007)/1000*$I$3</f>
        <v>1209.0070000000001</v>
      </c>
      <c r="I532" s="534">
        <f>H532-(0)/1000*$I$3</f>
        <v>1209.0070000000001</v>
      </c>
    </row>
    <row r="533" spans="1:9" ht="204" x14ac:dyDescent="0.2">
      <c r="A533" s="522">
        <v>510</v>
      </c>
      <c r="B533" s="537" t="s">
        <v>4077</v>
      </c>
      <c r="C533" s="520" t="s">
        <v>4078</v>
      </c>
      <c r="D533" s="519" t="s">
        <v>3183</v>
      </c>
      <c r="E533" s="520" t="s">
        <v>3182</v>
      </c>
      <c r="F533" s="113" t="s">
        <v>1743</v>
      </c>
      <c r="G533" s="113" t="s">
        <v>3023</v>
      </c>
      <c r="H533" s="534">
        <f>(4802171/1000*$I$3)</f>
        <v>4802.1710000000003</v>
      </c>
      <c r="I533" s="534">
        <f>H533-(1350000)/1000*$I$3</f>
        <v>3452.1710000000003</v>
      </c>
    </row>
    <row r="534" spans="1:9" ht="96" x14ac:dyDescent="0.2">
      <c r="A534" s="522">
        <v>511</v>
      </c>
      <c r="B534" s="537" t="s">
        <v>4079</v>
      </c>
      <c r="C534" s="520" t="s">
        <v>4080</v>
      </c>
      <c r="D534" s="519" t="s">
        <v>3124</v>
      </c>
      <c r="E534" s="520" t="s">
        <v>3125</v>
      </c>
      <c r="F534" s="113" t="s">
        <v>1743</v>
      </c>
      <c r="G534" s="518" t="s">
        <v>1943</v>
      </c>
      <c r="H534" s="534">
        <f>1262426.01*$I$3/1000</f>
        <v>1262.4260099999999</v>
      </c>
      <c r="I534" s="534">
        <f>H534-(0)/1000*$H$3</f>
        <v>1262.4260099999999</v>
      </c>
    </row>
    <row r="535" spans="1:9" ht="72" x14ac:dyDescent="0.2">
      <c r="A535" s="522">
        <v>512</v>
      </c>
      <c r="B535" s="537" t="s">
        <v>3337</v>
      </c>
      <c r="C535" s="520" t="s">
        <v>3901</v>
      </c>
      <c r="D535" s="519" t="s">
        <v>3147</v>
      </c>
      <c r="E535" s="520" t="s">
        <v>4081</v>
      </c>
      <c r="F535" s="113" t="s">
        <v>1743</v>
      </c>
      <c r="G535" s="518" t="s">
        <v>2989</v>
      </c>
      <c r="H535" s="534">
        <f>(24050000)/1000*$I$3</f>
        <v>24050</v>
      </c>
      <c r="I535" s="534">
        <f>H535-(8406349+1400000)/1000*$I$3</f>
        <v>14243.651</v>
      </c>
    </row>
    <row r="536" spans="1:9" ht="120" x14ac:dyDescent="0.2">
      <c r="A536" s="522">
        <v>513</v>
      </c>
      <c r="B536" s="537" t="s">
        <v>3798</v>
      </c>
      <c r="C536" s="520" t="s">
        <v>4082</v>
      </c>
      <c r="D536" s="519" t="s">
        <v>3012</v>
      </c>
      <c r="E536" s="520" t="s">
        <v>3018</v>
      </c>
      <c r="F536" s="113" t="s">
        <v>1943</v>
      </c>
      <c r="G536" s="113" t="s">
        <v>2245</v>
      </c>
      <c r="H536" s="534">
        <f>3500000*$I$3/1000</f>
        <v>3500</v>
      </c>
      <c r="I536" s="534">
        <f>H536-(0)/1000*$I$3</f>
        <v>3500</v>
      </c>
    </row>
    <row r="537" spans="1:9" ht="132" x14ac:dyDescent="0.2">
      <c r="A537" s="522">
        <v>514</v>
      </c>
      <c r="B537" s="537" t="s">
        <v>3798</v>
      </c>
      <c r="C537" s="520" t="s">
        <v>4083</v>
      </c>
      <c r="D537" s="519" t="s">
        <v>3013</v>
      </c>
      <c r="E537" s="520" t="s">
        <v>3019</v>
      </c>
      <c r="F537" s="113" t="s">
        <v>1943</v>
      </c>
      <c r="G537" s="113" t="s">
        <v>2245</v>
      </c>
      <c r="H537" s="534">
        <f>2350000*$I$3/1000</f>
        <v>2350</v>
      </c>
      <c r="I537" s="534">
        <f>H537-(0)/1000*$I$3</f>
        <v>2350</v>
      </c>
    </row>
    <row r="538" spans="1:9" ht="132" x14ac:dyDescent="0.2">
      <c r="A538" s="522">
        <v>515</v>
      </c>
      <c r="B538" s="537" t="s">
        <v>3798</v>
      </c>
      <c r="C538" s="520" t="s">
        <v>4084</v>
      </c>
      <c r="D538" s="519" t="s">
        <v>3014</v>
      </c>
      <c r="E538" s="520" t="s">
        <v>3020</v>
      </c>
      <c r="F538" s="113" t="s">
        <v>1943</v>
      </c>
      <c r="G538" s="113" t="s">
        <v>2245</v>
      </c>
      <c r="H538" s="534">
        <f>2000000*$I$3/1000</f>
        <v>2000</v>
      </c>
      <c r="I538" s="534">
        <f>H538-(0)/1000*$I$3</f>
        <v>2000</v>
      </c>
    </row>
    <row r="539" spans="1:9" ht="108" x14ac:dyDescent="0.2">
      <c r="A539" s="522">
        <v>516</v>
      </c>
      <c r="B539" s="537" t="s">
        <v>3801</v>
      </c>
      <c r="C539" s="520" t="s">
        <v>4085</v>
      </c>
      <c r="D539" s="519" t="s">
        <v>3081</v>
      </c>
      <c r="E539" s="520" t="s">
        <v>3084</v>
      </c>
      <c r="F539" s="518" t="s">
        <v>1943</v>
      </c>
      <c r="G539" s="113" t="s">
        <v>1943</v>
      </c>
      <c r="H539" s="534">
        <f>(140401)/1000*$I$3</f>
        <v>140.40100000000001</v>
      </c>
      <c r="I539" s="534">
        <f>H539-(0)/1000*$I$3</f>
        <v>140.40100000000001</v>
      </c>
    </row>
    <row r="540" spans="1:9" ht="108" x14ac:dyDescent="0.2">
      <c r="A540" s="522">
        <v>517</v>
      </c>
      <c r="B540" s="537" t="s">
        <v>3801</v>
      </c>
      <c r="C540" s="520" t="s">
        <v>4086</v>
      </c>
      <c r="D540" s="519" t="s">
        <v>3082</v>
      </c>
      <c r="E540" s="520" t="s">
        <v>4087</v>
      </c>
      <c r="F540" s="518" t="s">
        <v>1943</v>
      </c>
      <c r="G540" s="113" t="s">
        <v>2245</v>
      </c>
      <c r="H540" s="534">
        <f>(2014308)/1000*$I$3</f>
        <v>2014.308</v>
      </c>
      <c r="I540" s="534">
        <f>H540-(0)/1000*$I$3</f>
        <v>2014.308</v>
      </c>
    </row>
    <row r="541" spans="1:9" ht="108" x14ac:dyDescent="0.2">
      <c r="A541" s="522">
        <v>518</v>
      </c>
      <c r="B541" s="537" t="s">
        <v>4088</v>
      </c>
      <c r="C541" s="520" t="s">
        <v>4089</v>
      </c>
      <c r="D541" s="519" t="s">
        <v>3220</v>
      </c>
      <c r="E541" s="520" t="s">
        <v>3219</v>
      </c>
      <c r="F541" s="113" t="s">
        <v>1943</v>
      </c>
      <c r="G541" s="113" t="s">
        <v>2982</v>
      </c>
      <c r="H541" s="534">
        <f>5200000/1000*$I$3</f>
        <v>5200</v>
      </c>
      <c r="I541" s="534">
        <f>H541-(3500000)/1000*$H$3</f>
        <v>1700</v>
      </c>
    </row>
    <row r="542" spans="1:9" ht="60" x14ac:dyDescent="0.2">
      <c r="A542" s="522">
        <v>519</v>
      </c>
      <c r="B542" s="537" t="s">
        <v>2085</v>
      </c>
      <c r="C542" s="520" t="s">
        <v>3907</v>
      </c>
      <c r="D542" s="519" t="s">
        <v>2106</v>
      </c>
      <c r="E542" s="520" t="s">
        <v>2101</v>
      </c>
      <c r="F542" s="113" t="s">
        <v>1943</v>
      </c>
      <c r="G542" s="113" t="s">
        <v>2104</v>
      </c>
      <c r="H542" s="534">
        <f>(355518)/1000*$H$3</f>
        <v>355.51799999999997</v>
      </c>
      <c r="I542" s="534">
        <f>H542-(0/1000*$H$3)</f>
        <v>355.51799999999997</v>
      </c>
    </row>
    <row r="543" spans="1:9" ht="72" x14ac:dyDescent="0.2">
      <c r="A543" s="522">
        <v>520</v>
      </c>
      <c r="B543" s="537" t="s">
        <v>3337</v>
      </c>
      <c r="C543" s="520" t="s">
        <v>4090</v>
      </c>
      <c r="D543" s="519" t="s">
        <v>3153</v>
      </c>
      <c r="E543" s="520" t="s">
        <v>4091</v>
      </c>
      <c r="F543" s="113" t="s">
        <v>1943</v>
      </c>
      <c r="G543" s="518" t="s">
        <v>2989</v>
      </c>
      <c r="H543" s="534">
        <f>(294555)/1000*$I$3</f>
        <v>294.55500000000001</v>
      </c>
      <c r="I543" s="534">
        <f>H543-(0)/1000*$I$3</f>
        <v>294.55500000000001</v>
      </c>
    </row>
    <row r="544" spans="1:9" ht="72" x14ac:dyDescent="0.2">
      <c r="A544" s="522">
        <v>521</v>
      </c>
      <c r="B544" s="537" t="s">
        <v>3337</v>
      </c>
      <c r="C544" s="520" t="s">
        <v>4092</v>
      </c>
      <c r="D544" s="519" t="s">
        <v>3154</v>
      </c>
      <c r="E544" s="520" t="s">
        <v>4093</v>
      </c>
      <c r="F544" s="113" t="s">
        <v>1943</v>
      </c>
      <c r="G544" s="518" t="s">
        <v>1943</v>
      </c>
      <c r="H544" s="534">
        <f>(245530)/1000*$I$3</f>
        <v>245.53</v>
      </c>
      <c r="I544" s="534">
        <f>H544-(0)/1000*$I$3</f>
        <v>245.53</v>
      </c>
    </row>
    <row r="545" spans="1:9" ht="132" x14ac:dyDescent="0.2">
      <c r="A545" s="522">
        <v>522</v>
      </c>
      <c r="B545" s="537" t="s">
        <v>4094</v>
      </c>
      <c r="C545" s="520" t="s">
        <v>4095</v>
      </c>
      <c r="D545" s="519" t="s">
        <v>2987</v>
      </c>
      <c r="E545" s="520" t="s">
        <v>4096</v>
      </c>
      <c r="F545" s="113" t="s">
        <v>2989</v>
      </c>
      <c r="G545" s="113" t="s">
        <v>2104</v>
      </c>
      <c r="H545" s="534">
        <f>344019*$I$3/1000</f>
        <v>344.01900000000001</v>
      </c>
      <c r="I545" s="534">
        <f>H545-(0)/1000*$I$3</f>
        <v>344.01900000000001</v>
      </c>
    </row>
    <row r="546" spans="1:9" ht="192" x14ac:dyDescent="0.2">
      <c r="A546" s="522">
        <v>523</v>
      </c>
      <c r="B546" s="537" t="s">
        <v>4097</v>
      </c>
      <c r="C546" s="520" t="s">
        <v>4098</v>
      </c>
      <c r="D546" s="519" t="s">
        <v>3095</v>
      </c>
      <c r="E546" s="520" t="s">
        <v>3096</v>
      </c>
      <c r="F546" s="113" t="s">
        <v>2989</v>
      </c>
      <c r="G546" s="518" t="s">
        <v>3285</v>
      </c>
      <c r="H546" s="534">
        <f>(47800000)/1000*$I$3</f>
        <v>47800</v>
      </c>
      <c r="I546" s="534">
        <f>H546-(10119574+2349430+3439242+1638114+511319+2103333)/1000*$I$3</f>
        <v>27638.988000000001</v>
      </c>
    </row>
    <row r="547" spans="1:9" ht="108" x14ac:dyDescent="0.2">
      <c r="A547" s="522">
        <v>524</v>
      </c>
      <c r="B547" s="537" t="s">
        <v>4099</v>
      </c>
      <c r="C547" s="520" t="s">
        <v>4248</v>
      </c>
      <c r="D547" s="519" t="s">
        <v>3111</v>
      </c>
      <c r="E547" s="520" t="s">
        <v>3112</v>
      </c>
      <c r="F547" s="113" t="s">
        <v>2989</v>
      </c>
      <c r="G547" s="518" t="s">
        <v>2245</v>
      </c>
      <c r="H547" s="534">
        <f>4157822*$I$3/1000</f>
        <v>4157.8220000000001</v>
      </c>
      <c r="I547" s="534">
        <f>H547-(0)/1000*$I$3</f>
        <v>4157.8220000000001</v>
      </c>
    </row>
    <row r="548" spans="1:9" ht="72" x14ac:dyDescent="0.2">
      <c r="A548" s="522">
        <v>525</v>
      </c>
      <c r="B548" s="537" t="s">
        <v>3929</v>
      </c>
      <c r="C548" s="520" t="s">
        <v>4100</v>
      </c>
      <c r="D548" s="519" t="s">
        <v>3128</v>
      </c>
      <c r="E548" s="520" t="s">
        <v>4101</v>
      </c>
      <c r="F548" s="113" t="s">
        <v>2989</v>
      </c>
      <c r="G548" s="518" t="s">
        <v>2982</v>
      </c>
      <c r="H548" s="534">
        <f>(36061193+3056434)/1000*$I$3</f>
        <v>39117.627</v>
      </c>
      <c r="I548" s="534">
        <f>H548-(627105)*$I$3/1000</f>
        <v>38490.521999999997</v>
      </c>
    </row>
    <row r="549" spans="1:9" ht="132" x14ac:dyDescent="0.2">
      <c r="A549" s="522">
        <v>526</v>
      </c>
      <c r="B549" s="537" t="s">
        <v>4215</v>
      </c>
      <c r="C549" s="541" t="s">
        <v>4102</v>
      </c>
      <c r="D549" s="519" t="s">
        <v>4227</v>
      </c>
      <c r="E549" s="520" t="s">
        <v>4103</v>
      </c>
      <c r="F549" s="113" t="s">
        <v>2989</v>
      </c>
      <c r="G549" s="518" t="s">
        <v>3286</v>
      </c>
      <c r="H549" s="534">
        <v>1165158</v>
      </c>
      <c r="I549" s="534">
        <v>732477</v>
      </c>
    </row>
    <row r="550" spans="1:9" ht="60" x14ac:dyDescent="0.2">
      <c r="A550" s="522">
        <v>527</v>
      </c>
      <c r="B550" s="537" t="s">
        <v>2085</v>
      </c>
      <c r="C550" s="520" t="s">
        <v>3851</v>
      </c>
      <c r="D550" s="519" t="s">
        <v>3173</v>
      </c>
      <c r="E550" s="520" t="s">
        <v>3174</v>
      </c>
      <c r="F550" s="113" t="s">
        <v>2989</v>
      </c>
      <c r="G550" s="113" t="s">
        <v>3023</v>
      </c>
      <c r="H550" s="534">
        <f>(415833)/1000*$I$3</f>
        <v>415.83300000000003</v>
      </c>
      <c r="I550" s="534">
        <f>H550-(200000/1000*$H$3)</f>
        <v>215.83300000000003</v>
      </c>
    </row>
    <row r="551" spans="1:9" ht="132" x14ac:dyDescent="0.2">
      <c r="A551" s="522">
        <v>528</v>
      </c>
      <c r="B551" s="537" t="s">
        <v>3491</v>
      </c>
      <c r="C551" s="520" t="s">
        <v>4104</v>
      </c>
      <c r="D551" s="519" t="s">
        <v>3003</v>
      </c>
      <c r="E551" s="520" t="s">
        <v>4105</v>
      </c>
      <c r="F551" s="113" t="s">
        <v>2104</v>
      </c>
      <c r="G551" s="518" t="s">
        <v>3287</v>
      </c>
      <c r="H551" s="534">
        <f>550000*$I$3/1000</f>
        <v>550</v>
      </c>
      <c r="I551" s="534">
        <f>H551-(0)/1000*$I$3</f>
        <v>550</v>
      </c>
    </row>
    <row r="552" spans="1:9" ht="132" x14ac:dyDescent="0.2">
      <c r="A552" s="522">
        <v>529</v>
      </c>
      <c r="B552" s="537" t="s">
        <v>3593</v>
      </c>
      <c r="C552" s="520" t="s">
        <v>4106</v>
      </c>
      <c r="D552" s="519" t="s">
        <v>2996</v>
      </c>
      <c r="E552" s="520" t="s">
        <v>2994</v>
      </c>
      <c r="F552" s="113" t="s">
        <v>2104</v>
      </c>
      <c r="G552" s="518" t="s">
        <v>3288</v>
      </c>
      <c r="H552" s="534">
        <f>2500000*$I$3/1000</f>
        <v>2500</v>
      </c>
      <c r="I552" s="534">
        <f>H552-(0)/1000*$H$3</f>
        <v>2500</v>
      </c>
    </row>
    <row r="553" spans="1:9" ht="72" x14ac:dyDescent="0.2">
      <c r="A553" s="522">
        <v>530</v>
      </c>
      <c r="B553" s="537" t="s">
        <v>3337</v>
      </c>
      <c r="C553" s="520" t="s">
        <v>4107</v>
      </c>
      <c r="D553" s="519" t="s">
        <v>3269</v>
      </c>
      <c r="E553" s="520" t="s">
        <v>3145</v>
      </c>
      <c r="F553" s="113" t="s">
        <v>2104</v>
      </c>
      <c r="G553" s="518" t="s">
        <v>3023</v>
      </c>
      <c r="H553" s="534">
        <f>(13946680.56)/1000*$I$3</f>
        <v>13946.680560000001</v>
      </c>
      <c r="I553" s="534">
        <f t="shared" ref="I553:I558" si="23">H553-(0)/1000*$I$3</f>
        <v>13946.680560000001</v>
      </c>
    </row>
    <row r="554" spans="1:9" ht="60" x14ac:dyDescent="0.2">
      <c r="A554" s="522">
        <v>531</v>
      </c>
      <c r="B554" s="539" t="s">
        <v>3723</v>
      </c>
      <c r="C554" s="520" t="s">
        <v>3794</v>
      </c>
      <c r="D554" s="519" t="s">
        <v>3223</v>
      </c>
      <c r="E554" s="520" t="s">
        <v>3222</v>
      </c>
      <c r="F554" s="113" t="s">
        <v>2104</v>
      </c>
      <c r="G554" s="113" t="s">
        <v>2104</v>
      </c>
      <c r="H554" s="534">
        <v>143577.35999999999</v>
      </c>
      <c r="I554" s="534">
        <f t="shared" si="23"/>
        <v>143577.35999999999</v>
      </c>
    </row>
    <row r="555" spans="1:9" ht="120" x14ac:dyDescent="0.2">
      <c r="A555" s="522">
        <v>532</v>
      </c>
      <c r="B555" s="537" t="s">
        <v>3798</v>
      </c>
      <c r="C555" s="520" t="s">
        <v>4108</v>
      </c>
      <c r="D555" s="519" t="s">
        <v>3015</v>
      </c>
      <c r="E555" s="520" t="s">
        <v>4109</v>
      </c>
      <c r="F555" s="113" t="s">
        <v>3023</v>
      </c>
      <c r="G555" s="113" t="s">
        <v>2245</v>
      </c>
      <c r="H555" s="534">
        <f>2800000*$I$3/1000</f>
        <v>2800</v>
      </c>
      <c r="I555" s="534">
        <f t="shared" si="23"/>
        <v>2800</v>
      </c>
    </row>
    <row r="556" spans="1:9" ht="120" x14ac:dyDescent="0.2">
      <c r="A556" s="522">
        <v>533</v>
      </c>
      <c r="B556" s="537" t="s">
        <v>3798</v>
      </c>
      <c r="C556" s="520" t="s">
        <v>4110</v>
      </c>
      <c r="D556" s="519" t="s">
        <v>3016</v>
      </c>
      <c r="E556" s="520" t="s">
        <v>3022</v>
      </c>
      <c r="F556" s="113" t="s">
        <v>3023</v>
      </c>
      <c r="G556" s="113" t="s">
        <v>2982</v>
      </c>
      <c r="H556" s="534">
        <f>250000*$I$3/1000</f>
        <v>250</v>
      </c>
      <c r="I556" s="534">
        <f t="shared" si="23"/>
        <v>250</v>
      </c>
    </row>
    <row r="557" spans="1:9" ht="120" x14ac:dyDescent="0.2">
      <c r="A557" s="522">
        <v>534</v>
      </c>
      <c r="B557" s="537" t="s">
        <v>4111</v>
      </c>
      <c r="C557" s="520" t="s">
        <v>4112</v>
      </c>
      <c r="D557" s="519" t="s">
        <v>3070</v>
      </c>
      <c r="E557" s="520" t="s">
        <v>3069</v>
      </c>
      <c r="F557" s="113" t="s">
        <v>3023</v>
      </c>
      <c r="G557" s="518" t="s">
        <v>2982</v>
      </c>
      <c r="H557" s="534">
        <f>117000*$I$3/1000</f>
        <v>117</v>
      </c>
      <c r="I557" s="534">
        <f t="shared" si="23"/>
        <v>117</v>
      </c>
    </row>
    <row r="558" spans="1:9" ht="132" x14ac:dyDescent="0.2">
      <c r="A558" s="522">
        <v>535</v>
      </c>
      <c r="B558" s="537" t="s">
        <v>4113</v>
      </c>
      <c r="C558" s="520" t="s">
        <v>3331</v>
      </c>
      <c r="D558" s="519" t="s">
        <v>3116</v>
      </c>
      <c r="E558" s="520" t="s">
        <v>3113</v>
      </c>
      <c r="F558" s="113" t="s">
        <v>3023</v>
      </c>
      <c r="G558" s="518" t="s">
        <v>3289</v>
      </c>
      <c r="H558" s="534">
        <f>1160437*$I$3/1000</f>
        <v>1160.4369999999999</v>
      </c>
      <c r="I558" s="534">
        <f t="shared" si="23"/>
        <v>1160.4369999999999</v>
      </c>
    </row>
    <row r="559" spans="1:9" ht="72" x14ac:dyDescent="0.2">
      <c r="A559" s="522">
        <v>536</v>
      </c>
      <c r="B559" s="537" t="s">
        <v>4115</v>
      </c>
      <c r="C559" s="520" t="s">
        <v>4114</v>
      </c>
      <c r="D559" s="519" t="s">
        <v>3189</v>
      </c>
      <c r="E559" s="520" t="s">
        <v>3190</v>
      </c>
      <c r="F559" s="113" t="s">
        <v>3023</v>
      </c>
      <c r="G559" s="113" t="s">
        <v>4181</v>
      </c>
      <c r="H559" s="534">
        <f>80823240/1000*$I$3</f>
        <v>80823.240000000005</v>
      </c>
      <c r="I559" s="534">
        <f>H559-(76782078)/1000*$H$3</f>
        <v>4041.1620000000112</v>
      </c>
    </row>
    <row r="560" spans="1:9" ht="48" x14ac:dyDescent="0.2">
      <c r="A560" s="522">
        <v>537</v>
      </c>
      <c r="B560" s="537" t="s">
        <v>4116</v>
      </c>
      <c r="C560" s="520" t="s">
        <v>3926</v>
      </c>
      <c r="D560" s="519" t="s">
        <v>3118</v>
      </c>
      <c r="E560" s="520" t="s">
        <v>4117</v>
      </c>
      <c r="F560" s="113" t="s">
        <v>2982</v>
      </c>
      <c r="G560" s="518" t="s">
        <v>3251</v>
      </c>
      <c r="H560" s="534">
        <f>(1736875)/1000*$I$3</f>
        <v>1736.875</v>
      </c>
      <c r="I560" s="534">
        <f>H560-(0)/1000*$I$3</f>
        <v>1736.875</v>
      </c>
    </row>
    <row r="561" spans="1:10" ht="96" x14ac:dyDescent="0.2">
      <c r="A561" s="522">
        <v>538</v>
      </c>
      <c r="B561" s="537" t="s">
        <v>4118</v>
      </c>
      <c r="C561" s="520" t="s">
        <v>3855</v>
      </c>
      <c r="D561" s="519" t="s">
        <v>2980</v>
      </c>
      <c r="E561" s="521" t="s">
        <v>2979</v>
      </c>
      <c r="F561" s="113" t="s">
        <v>2982</v>
      </c>
      <c r="G561" s="518" t="s">
        <v>2982</v>
      </c>
      <c r="H561" s="534">
        <f>85000*$I$3/1000</f>
        <v>85</v>
      </c>
      <c r="I561" s="534">
        <f>H561-(0)/1000*$I$3</f>
        <v>85</v>
      </c>
    </row>
    <row r="562" spans="1:10" ht="132" x14ac:dyDescent="0.2">
      <c r="A562" s="522">
        <v>539</v>
      </c>
      <c r="B562" s="537" t="s">
        <v>4119</v>
      </c>
      <c r="C562" s="520" t="s">
        <v>4120</v>
      </c>
      <c r="D562" s="519" t="s">
        <v>3004</v>
      </c>
      <c r="E562" s="520" t="s">
        <v>3005</v>
      </c>
      <c r="F562" s="113" t="s">
        <v>2982</v>
      </c>
      <c r="G562" s="518" t="s">
        <v>3280</v>
      </c>
      <c r="H562" s="534">
        <f>21900052*$I$3/1000</f>
        <v>21900.052</v>
      </c>
      <c r="I562" s="534">
        <f>H562-(0)/1000*$I$3</f>
        <v>21900.052</v>
      </c>
    </row>
    <row r="563" spans="1:10" ht="132" x14ac:dyDescent="0.2">
      <c r="A563" s="522">
        <v>540</v>
      </c>
      <c r="B563" s="537" t="s">
        <v>3593</v>
      </c>
      <c r="C563" s="520" t="s">
        <v>4121</v>
      </c>
      <c r="D563" s="519" t="s">
        <v>2997</v>
      </c>
      <c r="E563" s="520" t="s">
        <v>2995</v>
      </c>
      <c r="F563" s="113" t="s">
        <v>2982</v>
      </c>
      <c r="G563" s="518" t="s">
        <v>3288</v>
      </c>
      <c r="H563" s="534">
        <f>1600000*$I$3/1000</f>
        <v>1600</v>
      </c>
      <c r="I563" s="534">
        <f>H563-(0)/1000*$H$3</f>
        <v>1600</v>
      </c>
    </row>
    <row r="564" spans="1:10" ht="144" x14ac:dyDescent="0.2">
      <c r="A564" s="522">
        <v>541</v>
      </c>
      <c r="B564" s="537" t="s">
        <v>4122</v>
      </c>
      <c r="C564" s="520" t="s">
        <v>4123</v>
      </c>
      <c r="D564" s="519" t="s">
        <v>3227</v>
      </c>
      <c r="E564" s="520" t="s">
        <v>3228</v>
      </c>
      <c r="F564" s="113" t="s">
        <v>2982</v>
      </c>
      <c r="G564" s="518" t="s">
        <v>2245</v>
      </c>
      <c r="H564" s="534">
        <f>1156952*$I$3/1000</f>
        <v>1156.952</v>
      </c>
      <c r="I564" s="534">
        <f>H564-(0)/1000*$I$3</f>
        <v>1156.952</v>
      </c>
    </row>
    <row r="565" spans="1:10" ht="60" x14ac:dyDescent="0.2">
      <c r="A565" s="522">
        <v>542</v>
      </c>
      <c r="B565" s="537" t="s">
        <v>4124</v>
      </c>
      <c r="C565" s="520" t="s">
        <v>3850</v>
      </c>
      <c r="D565" s="519" t="s">
        <v>3170</v>
      </c>
      <c r="E565" s="520" t="s">
        <v>3171</v>
      </c>
      <c r="F565" s="113" t="s">
        <v>2982</v>
      </c>
      <c r="G565" s="113" t="s">
        <v>3167</v>
      </c>
      <c r="H565" s="534">
        <f>332736.67*$I$3/1000</f>
        <v>332.73667</v>
      </c>
      <c r="I565" s="534">
        <f>H565-(0)/1000*$H$3</f>
        <v>332.73667</v>
      </c>
    </row>
    <row r="566" spans="1:10" ht="72" x14ac:dyDescent="0.2">
      <c r="A566" s="522">
        <v>543</v>
      </c>
      <c r="B566" s="537" t="s">
        <v>3337</v>
      </c>
      <c r="C566" s="520" t="s">
        <v>4125</v>
      </c>
      <c r="D566" s="519" t="s">
        <v>3155</v>
      </c>
      <c r="E566" s="520" t="s">
        <v>3161</v>
      </c>
      <c r="F566" s="113" t="s">
        <v>2982</v>
      </c>
      <c r="G566" s="518" t="s">
        <v>2982</v>
      </c>
      <c r="H566" s="534">
        <f>(1958036)/1000*$I$3</f>
        <v>1958.0360000000001</v>
      </c>
      <c r="I566" s="534">
        <f>H566-(704457)/1000*$I$3</f>
        <v>1253.5790000000002</v>
      </c>
    </row>
    <row r="567" spans="1:10" ht="48" x14ac:dyDescent="0.2">
      <c r="A567" s="522">
        <v>544</v>
      </c>
      <c r="B567" s="539" t="s">
        <v>4211</v>
      </c>
      <c r="C567" s="520" t="s">
        <v>4196</v>
      </c>
      <c r="D567" s="519" t="s">
        <v>3204</v>
      </c>
      <c r="E567" s="520" t="s">
        <v>3202</v>
      </c>
      <c r="F567" s="113" t="s">
        <v>2982</v>
      </c>
      <c r="G567" s="113" t="s">
        <v>2245</v>
      </c>
      <c r="H567" s="534">
        <f>(508719)/1000*$I$3</f>
        <v>508.71899999999999</v>
      </c>
      <c r="I567" s="534">
        <f>H567-(0)/1000*$I$3</f>
        <v>508.71899999999999</v>
      </c>
      <c r="J567" s="570"/>
    </row>
    <row r="568" spans="1:10" ht="108" x14ac:dyDescent="0.2">
      <c r="A568" s="522">
        <v>545</v>
      </c>
      <c r="B568" s="542" t="s">
        <v>4234</v>
      </c>
      <c r="C568" s="543" t="s">
        <v>4244</v>
      </c>
      <c r="D568" s="544" t="s">
        <v>4230</v>
      </c>
      <c r="E568" s="544" t="s">
        <v>4245</v>
      </c>
      <c r="F568" s="543" t="s">
        <v>4231</v>
      </c>
      <c r="G568" s="545" t="s">
        <v>4232</v>
      </c>
      <c r="H568" s="546" t="s">
        <v>4233</v>
      </c>
      <c r="I568" s="547">
        <v>13420</v>
      </c>
      <c r="J568" s="571"/>
    </row>
    <row r="569" spans="1:10" ht="60" x14ac:dyDescent="0.2">
      <c r="A569" s="522">
        <v>546</v>
      </c>
      <c r="B569" s="542" t="s">
        <v>4212</v>
      </c>
      <c r="C569" s="543" t="s">
        <v>4216</v>
      </c>
      <c r="D569" s="544" t="s">
        <v>4189</v>
      </c>
      <c r="E569" s="544" t="s">
        <v>4197</v>
      </c>
      <c r="F569" s="543" t="s">
        <v>3167</v>
      </c>
      <c r="G569" s="545" t="s">
        <v>4188</v>
      </c>
      <c r="H569" s="546" t="s">
        <v>4190</v>
      </c>
      <c r="I569" s="547">
        <v>343</v>
      </c>
      <c r="J569" s="540"/>
    </row>
    <row r="570" spans="1:10" ht="84" x14ac:dyDescent="0.2">
      <c r="A570" s="522">
        <v>547</v>
      </c>
      <c r="B570" s="542" t="s">
        <v>4235</v>
      </c>
      <c r="C570" s="544" t="s">
        <v>4236</v>
      </c>
      <c r="D570" s="548" t="s">
        <v>4237</v>
      </c>
      <c r="E570" s="544" t="s">
        <v>4238</v>
      </c>
      <c r="F570" s="545" t="s">
        <v>3056</v>
      </c>
      <c r="G570" s="546" t="s">
        <v>4239</v>
      </c>
      <c r="H570" s="547">
        <v>258689</v>
      </c>
      <c r="I570" s="534">
        <v>258689</v>
      </c>
      <c r="J570" s="540"/>
    </row>
    <row r="571" spans="1:10" ht="84" x14ac:dyDescent="0.2">
      <c r="A571" s="522">
        <v>548</v>
      </c>
      <c r="B571" s="542" t="s">
        <v>4240</v>
      </c>
      <c r="C571" s="544" t="s">
        <v>4236</v>
      </c>
      <c r="D571" s="548" t="s">
        <v>4241</v>
      </c>
      <c r="E571" s="544" t="s">
        <v>4242</v>
      </c>
      <c r="F571" s="545" t="s">
        <v>3056</v>
      </c>
      <c r="G571" s="546" t="s">
        <v>4243</v>
      </c>
      <c r="H571" s="547">
        <v>2065000</v>
      </c>
      <c r="I571" s="534">
        <v>2065000</v>
      </c>
      <c r="J571" s="540"/>
    </row>
    <row r="572" spans="1:10" ht="132" x14ac:dyDescent="0.2">
      <c r="A572" s="522">
        <v>549</v>
      </c>
      <c r="B572" s="542" t="s">
        <v>3493</v>
      </c>
      <c r="C572" s="544" t="s">
        <v>4217</v>
      </c>
      <c r="D572" s="548" t="s">
        <v>4191</v>
      </c>
      <c r="E572" s="544" t="s">
        <v>4219</v>
      </c>
      <c r="F572" s="545" t="s">
        <v>3056</v>
      </c>
      <c r="G572" s="546" t="s">
        <v>4192</v>
      </c>
      <c r="H572" s="547">
        <v>1850</v>
      </c>
      <c r="I572" s="549">
        <v>1850</v>
      </c>
    </row>
    <row r="573" spans="1:10" ht="156" x14ac:dyDescent="0.2">
      <c r="A573" s="522">
        <v>550</v>
      </c>
      <c r="B573" s="542" t="s">
        <v>4027</v>
      </c>
      <c r="C573" s="544" t="s">
        <v>4228</v>
      </c>
      <c r="D573" s="548" t="s">
        <v>4199</v>
      </c>
      <c r="E573" s="544" t="s">
        <v>4201</v>
      </c>
      <c r="F573" s="546" t="s">
        <v>3056</v>
      </c>
      <c r="G573" s="546" t="s">
        <v>4200</v>
      </c>
      <c r="H573" s="534">
        <v>45557</v>
      </c>
      <c r="I573" s="534">
        <v>45557</v>
      </c>
    </row>
    <row r="574" spans="1:10" ht="84" x14ac:dyDescent="0.2">
      <c r="A574" s="522">
        <v>551</v>
      </c>
      <c r="B574" s="542" t="s">
        <v>4193</v>
      </c>
      <c r="C574" s="544" t="s">
        <v>4198</v>
      </c>
      <c r="D574" s="548" t="s">
        <v>4194</v>
      </c>
      <c r="E574" s="544" t="s">
        <v>4195</v>
      </c>
      <c r="F574" s="546" t="s">
        <v>4192</v>
      </c>
      <c r="G574" s="546" t="s">
        <v>4192</v>
      </c>
      <c r="H574" s="547">
        <v>21</v>
      </c>
      <c r="I574" s="549">
        <v>21</v>
      </c>
    </row>
    <row r="575" spans="1:10" ht="36" x14ac:dyDescent="0.2">
      <c r="A575" s="522">
        <v>552</v>
      </c>
      <c r="B575" s="542" t="s">
        <v>4213</v>
      </c>
      <c r="C575" s="544" t="s">
        <v>4218</v>
      </c>
      <c r="D575" s="548" t="s">
        <v>4202</v>
      </c>
      <c r="E575" s="544" t="s">
        <v>4220</v>
      </c>
      <c r="F575" s="546" t="s">
        <v>4192</v>
      </c>
      <c r="G575" s="546" t="s">
        <v>4203</v>
      </c>
      <c r="H575" s="547">
        <v>128</v>
      </c>
      <c r="I575" s="549">
        <v>128</v>
      </c>
    </row>
    <row r="576" spans="1:10" ht="120" x14ac:dyDescent="0.2">
      <c r="A576" s="522">
        <v>553</v>
      </c>
      <c r="B576" s="537" t="s">
        <v>4263</v>
      </c>
      <c r="C576" s="520" t="s">
        <v>4075</v>
      </c>
      <c r="D576" s="519" t="s">
        <v>4264</v>
      </c>
      <c r="E576" s="520" t="s">
        <v>4265</v>
      </c>
      <c r="F576" s="113" t="s">
        <v>4200</v>
      </c>
      <c r="G576" s="518" t="s">
        <v>4267</v>
      </c>
      <c r="H576" s="534">
        <v>553</v>
      </c>
      <c r="I576" s="534">
        <f>H576-(0)/1000*$I$3</f>
        <v>553</v>
      </c>
    </row>
    <row r="577" spans="1:9" ht="132" x14ac:dyDescent="0.2">
      <c r="A577" s="522">
        <v>554</v>
      </c>
      <c r="B577" s="542" t="s">
        <v>3491</v>
      </c>
      <c r="C577" s="544" t="s">
        <v>4225</v>
      </c>
      <c r="D577" s="548" t="s">
        <v>4206</v>
      </c>
      <c r="E577" s="544" t="s">
        <v>4207</v>
      </c>
      <c r="F577" s="545" t="s">
        <v>4203</v>
      </c>
      <c r="G577" s="546" t="s">
        <v>4181</v>
      </c>
      <c r="H577" s="547">
        <v>2755</v>
      </c>
      <c r="I577" s="549">
        <v>2755</v>
      </c>
    </row>
    <row r="578" spans="1:9" ht="132" x14ac:dyDescent="0.2">
      <c r="A578" s="522">
        <v>555</v>
      </c>
      <c r="B578" s="542" t="s">
        <v>3491</v>
      </c>
      <c r="C578" s="544" t="s">
        <v>4226</v>
      </c>
      <c r="D578" s="548" t="s">
        <v>4204</v>
      </c>
      <c r="E578" s="544" t="s">
        <v>4221</v>
      </c>
      <c r="F578" s="545" t="s">
        <v>4203</v>
      </c>
      <c r="G578" s="546" t="s">
        <v>4205</v>
      </c>
      <c r="H578" s="547">
        <v>370</v>
      </c>
      <c r="I578" s="549">
        <v>370</v>
      </c>
    </row>
    <row r="579" spans="1:9" ht="72" x14ac:dyDescent="0.2">
      <c r="A579" s="522">
        <v>556</v>
      </c>
      <c r="B579" s="542" t="s">
        <v>4229</v>
      </c>
      <c r="C579" s="544" t="s">
        <v>4222</v>
      </c>
      <c r="D579" s="548" t="s">
        <v>4208</v>
      </c>
      <c r="E579" s="544" t="s">
        <v>4312</v>
      </c>
      <c r="F579" s="545" t="s">
        <v>4203</v>
      </c>
      <c r="G579" s="546" t="s">
        <v>4209</v>
      </c>
      <c r="H579" s="547">
        <v>2166</v>
      </c>
      <c r="I579" s="534">
        <v>2166</v>
      </c>
    </row>
    <row r="580" spans="1:9" ht="108" x14ac:dyDescent="0.2">
      <c r="A580" s="522">
        <v>557</v>
      </c>
      <c r="B580" s="537" t="s">
        <v>4317</v>
      </c>
      <c r="C580" s="520" t="s">
        <v>4318</v>
      </c>
      <c r="D580" s="519" t="s">
        <v>4319</v>
      </c>
      <c r="E580" s="520" t="s">
        <v>4320</v>
      </c>
      <c r="F580" s="113" t="s">
        <v>4203</v>
      </c>
      <c r="G580" s="518" t="s">
        <v>4303</v>
      </c>
      <c r="H580" s="534">
        <v>1384</v>
      </c>
      <c r="I580" s="549">
        <v>1384</v>
      </c>
    </row>
    <row r="581" spans="1:9" ht="120" x14ac:dyDescent="0.2">
      <c r="A581" s="522">
        <v>558</v>
      </c>
      <c r="B581" s="542" t="s">
        <v>3935</v>
      </c>
      <c r="C581" s="544" t="s">
        <v>4223</v>
      </c>
      <c r="D581" s="548" t="s">
        <v>4214</v>
      </c>
      <c r="E581" s="544" t="s">
        <v>4210</v>
      </c>
      <c r="F581" s="545" t="s">
        <v>4203</v>
      </c>
      <c r="G581" s="546" t="s">
        <v>4209</v>
      </c>
      <c r="H581" s="547">
        <v>485</v>
      </c>
      <c r="I581" s="534">
        <v>485</v>
      </c>
    </row>
    <row r="582" spans="1:9" ht="96" x14ac:dyDescent="0.2">
      <c r="A582" s="522">
        <v>559</v>
      </c>
      <c r="B582" s="551" t="s">
        <v>3307</v>
      </c>
      <c r="C582" s="550" t="s">
        <v>3981</v>
      </c>
      <c r="D582" s="552" t="s">
        <v>4249</v>
      </c>
      <c r="E582" s="550" t="s">
        <v>4316</v>
      </c>
      <c r="F582" s="553" t="s">
        <v>4203</v>
      </c>
      <c r="G582" s="553" t="s">
        <v>4181</v>
      </c>
      <c r="H582" s="554">
        <v>4850</v>
      </c>
      <c r="I582" s="549">
        <v>4850</v>
      </c>
    </row>
    <row r="583" spans="1:9" ht="72" x14ac:dyDescent="0.2">
      <c r="A583" s="522">
        <v>560</v>
      </c>
      <c r="B583" s="537" t="s">
        <v>4050</v>
      </c>
      <c r="C583" s="520" t="s">
        <v>4307</v>
      </c>
      <c r="D583" s="519" t="s">
        <v>4273</v>
      </c>
      <c r="E583" s="550" t="s">
        <v>4274</v>
      </c>
      <c r="F583" s="553" t="s">
        <v>4203</v>
      </c>
      <c r="G583" s="113" t="s">
        <v>4298</v>
      </c>
      <c r="H583" s="554">
        <v>1014</v>
      </c>
      <c r="I583" s="534">
        <v>1014</v>
      </c>
    </row>
    <row r="584" spans="1:9" ht="156" x14ac:dyDescent="0.2">
      <c r="A584" s="522">
        <v>561</v>
      </c>
      <c r="B584" s="537" t="s">
        <v>4313</v>
      </c>
      <c r="C584" s="520" t="s">
        <v>4315</v>
      </c>
      <c r="D584" s="552" t="s">
        <v>4328</v>
      </c>
      <c r="E584" s="558" t="s">
        <v>4329</v>
      </c>
      <c r="F584" s="553" t="s">
        <v>4203</v>
      </c>
      <c r="G584" s="559" t="s">
        <v>4232</v>
      </c>
      <c r="H584" s="554">
        <v>698</v>
      </c>
      <c r="I584" s="534">
        <v>698</v>
      </c>
    </row>
    <row r="585" spans="1:9" ht="120" x14ac:dyDescent="0.2">
      <c r="A585" s="522">
        <v>562</v>
      </c>
      <c r="B585" s="537" t="s">
        <v>3798</v>
      </c>
      <c r="C585" s="520" t="s">
        <v>4262</v>
      </c>
      <c r="D585" s="519" t="s">
        <v>4257</v>
      </c>
      <c r="E585" s="520" t="s">
        <v>4256</v>
      </c>
      <c r="F585" s="555" t="s">
        <v>4209</v>
      </c>
      <c r="G585" s="555" t="s">
        <v>4181</v>
      </c>
      <c r="H585" s="534">
        <v>3555</v>
      </c>
      <c r="I585" s="534">
        <v>3555</v>
      </c>
    </row>
    <row r="586" spans="1:9" ht="180" x14ac:dyDescent="0.2">
      <c r="A586" s="522">
        <v>563</v>
      </c>
      <c r="B586" s="560" t="s">
        <v>4321</v>
      </c>
      <c r="C586" s="520" t="s">
        <v>4322</v>
      </c>
      <c r="D586" s="519" t="s">
        <v>4323</v>
      </c>
      <c r="E586" s="520" t="s">
        <v>4324</v>
      </c>
      <c r="F586" s="113" t="s">
        <v>4209</v>
      </c>
      <c r="G586" s="113" t="s">
        <v>4181</v>
      </c>
      <c r="H586" s="534">
        <v>792</v>
      </c>
      <c r="I586" s="549">
        <v>792</v>
      </c>
    </row>
    <row r="587" spans="1:9" ht="96" x14ac:dyDescent="0.2">
      <c r="A587" s="522">
        <v>564</v>
      </c>
      <c r="B587" s="537" t="s">
        <v>4533</v>
      </c>
      <c r="C587" s="520" t="s">
        <v>4272</v>
      </c>
      <c r="D587" s="519" t="s">
        <v>4271</v>
      </c>
      <c r="E587" s="520" t="s">
        <v>4301</v>
      </c>
      <c r="F587" s="555" t="s">
        <v>4232</v>
      </c>
      <c r="G587" s="555" t="s">
        <v>4252</v>
      </c>
      <c r="H587" s="534">
        <v>51006</v>
      </c>
      <c r="I587" s="534">
        <v>51006</v>
      </c>
    </row>
    <row r="588" spans="1:9" ht="132" x14ac:dyDescent="0.2">
      <c r="A588" s="522">
        <v>565</v>
      </c>
      <c r="B588" s="542" t="s">
        <v>3684</v>
      </c>
      <c r="C588" s="544" t="s">
        <v>4261</v>
      </c>
      <c r="D588" s="548" t="s">
        <v>4250</v>
      </c>
      <c r="E588" s="544" t="s">
        <v>4251</v>
      </c>
      <c r="F588" s="545" t="s">
        <v>4232</v>
      </c>
      <c r="G588" s="545" t="s">
        <v>4252</v>
      </c>
      <c r="H588" s="534">
        <v>8600</v>
      </c>
      <c r="I588" s="534">
        <v>8600</v>
      </c>
    </row>
    <row r="589" spans="1:9" ht="120" x14ac:dyDescent="0.2">
      <c r="A589" s="522">
        <v>566</v>
      </c>
      <c r="B589" s="542" t="s">
        <v>4266</v>
      </c>
      <c r="C589" s="544" t="s">
        <v>4345</v>
      </c>
      <c r="D589" s="548" t="s">
        <v>4346</v>
      </c>
      <c r="E589" s="544" t="s">
        <v>4347</v>
      </c>
      <c r="F589" s="545" t="s">
        <v>4232</v>
      </c>
      <c r="G589" s="545" t="s">
        <v>4333</v>
      </c>
      <c r="H589" s="534">
        <v>262490</v>
      </c>
      <c r="I589" s="534">
        <v>262490</v>
      </c>
    </row>
    <row r="590" spans="1:9" ht="156" x14ac:dyDescent="0.2">
      <c r="A590" s="522">
        <v>567</v>
      </c>
      <c r="B590" s="537" t="s">
        <v>4313</v>
      </c>
      <c r="C590" s="550" t="s">
        <v>4314</v>
      </c>
      <c r="D590" s="519" t="s">
        <v>4278</v>
      </c>
      <c r="E590" s="520" t="s">
        <v>4279</v>
      </c>
      <c r="F590" s="555" t="s">
        <v>4277</v>
      </c>
      <c r="G590" s="555" t="s">
        <v>4303</v>
      </c>
      <c r="H590" s="534">
        <v>24583</v>
      </c>
      <c r="I590" s="534">
        <v>24583</v>
      </c>
    </row>
    <row r="591" spans="1:9" ht="132" x14ac:dyDescent="0.2">
      <c r="A591" s="522">
        <v>568</v>
      </c>
      <c r="B591" s="537" t="s">
        <v>4308</v>
      </c>
      <c r="C591" s="550" t="s">
        <v>4311</v>
      </c>
      <c r="D591" s="519" t="s">
        <v>4310</v>
      </c>
      <c r="E591" s="520" t="s">
        <v>4309</v>
      </c>
      <c r="F591" s="555" t="s">
        <v>4188</v>
      </c>
      <c r="G591" s="555" t="s">
        <v>4267</v>
      </c>
      <c r="H591" s="534">
        <v>590601</v>
      </c>
      <c r="I591" s="534">
        <v>590601</v>
      </c>
    </row>
    <row r="592" spans="1:9" ht="156" x14ac:dyDescent="0.2">
      <c r="A592" s="522">
        <v>569</v>
      </c>
      <c r="B592" s="537" t="s">
        <v>4313</v>
      </c>
      <c r="C592" s="550" t="s">
        <v>4315</v>
      </c>
      <c r="D592" s="519" t="s">
        <v>4275</v>
      </c>
      <c r="E592" s="520" t="s">
        <v>4276</v>
      </c>
      <c r="F592" s="555" t="s">
        <v>4277</v>
      </c>
      <c r="G592" s="555" t="s">
        <v>4298</v>
      </c>
      <c r="H592" s="534">
        <v>12266</v>
      </c>
      <c r="I592" s="534">
        <v>12266</v>
      </c>
    </row>
    <row r="593" spans="1:9" ht="156" x14ac:dyDescent="0.2">
      <c r="A593" s="522">
        <v>570</v>
      </c>
      <c r="B593" s="537" t="s">
        <v>4313</v>
      </c>
      <c r="C593" s="550" t="s">
        <v>4315</v>
      </c>
      <c r="D593" s="519" t="s">
        <v>4280</v>
      </c>
      <c r="E593" s="520" t="s">
        <v>4281</v>
      </c>
      <c r="F593" s="555" t="s">
        <v>4205</v>
      </c>
      <c r="G593" s="555" t="s">
        <v>4205</v>
      </c>
      <c r="H593" s="534">
        <v>537</v>
      </c>
      <c r="I593" s="549">
        <v>537</v>
      </c>
    </row>
    <row r="594" spans="1:9" ht="120" x14ac:dyDescent="0.2">
      <c r="A594" s="522">
        <v>571</v>
      </c>
      <c r="B594" s="537" t="s">
        <v>4006</v>
      </c>
      <c r="C594" s="520" t="s">
        <v>4325</v>
      </c>
      <c r="D594" s="519" t="s">
        <v>4326</v>
      </c>
      <c r="E594" s="520" t="s">
        <v>4327</v>
      </c>
      <c r="F594" s="113" t="s">
        <v>4205</v>
      </c>
      <c r="G594" s="113" t="s">
        <v>4205</v>
      </c>
      <c r="H594" s="549">
        <v>200</v>
      </c>
      <c r="I594" s="549">
        <v>200</v>
      </c>
    </row>
    <row r="595" spans="1:9" ht="96" x14ac:dyDescent="0.2">
      <c r="A595" s="522">
        <v>572</v>
      </c>
      <c r="B595" s="537" t="s">
        <v>3435</v>
      </c>
      <c r="C595" s="520" t="s">
        <v>4258</v>
      </c>
      <c r="D595" s="519" t="s">
        <v>4259</v>
      </c>
      <c r="E595" s="521" t="s">
        <v>4260</v>
      </c>
      <c r="F595" s="113" t="s">
        <v>4205</v>
      </c>
      <c r="G595" s="113" t="s">
        <v>4252</v>
      </c>
      <c r="H595" s="534">
        <v>900</v>
      </c>
      <c r="I595" s="534">
        <f>H595-(0)/1000*$H$3</f>
        <v>900</v>
      </c>
    </row>
    <row r="596" spans="1:9" ht="156" x14ac:dyDescent="0.2">
      <c r="A596" s="522">
        <v>573</v>
      </c>
      <c r="B596" s="537" t="s">
        <v>4215</v>
      </c>
      <c r="C596" s="520" t="s">
        <v>4315</v>
      </c>
      <c r="D596" s="519" t="s">
        <v>4282</v>
      </c>
      <c r="E596" s="521" t="s">
        <v>4283</v>
      </c>
      <c r="F596" s="113" t="s">
        <v>4284</v>
      </c>
      <c r="G596" s="113" t="s">
        <v>4306</v>
      </c>
      <c r="H596" s="534">
        <v>1083</v>
      </c>
      <c r="I596" s="534">
        <v>1083</v>
      </c>
    </row>
    <row r="597" spans="1:9" ht="120" x14ac:dyDescent="0.2">
      <c r="A597" s="522">
        <v>574</v>
      </c>
      <c r="B597" s="537" t="s">
        <v>4266</v>
      </c>
      <c r="C597" s="520" t="s">
        <v>4075</v>
      </c>
      <c r="D597" s="519" t="s">
        <v>4302</v>
      </c>
      <c r="E597" s="520" t="s">
        <v>4268</v>
      </c>
      <c r="F597" s="555" t="s">
        <v>4239</v>
      </c>
      <c r="G597" s="555" t="s">
        <v>4267</v>
      </c>
      <c r="H597" s="534">
        <v>854</v>
      </c>
      <c r="I597" s="549">
        <v>854</v>
      </c>
    </row>
    <row r="598" spans="1:9" ht="192" x14ac:dyDescent="0.2">
      <c r="A598" s="522">
        <v>575</v>
      </c>
      <c r="B598" s="561" t="s">
        <v>3435</v>
      </c>
      <c r="C598" s="562" t="s">
        <v>4330</v>
      </c>
      <c r="D598" s="563" t="s">
        <v>4331</v>
      </c>
      <c r="E598" s="557" t="s">
        <v>4332</v>
      </c>
      <c r="F598" s="113" t="s">
        <v>4303</v>
      </c>
      <c r="G598" s="113" t="s">
        <v>4252</v>
      </c>
      <c r="H598" s="549">
        <v>2200</v>
      </c>
      <c r="I598" s="549">
        <v>2200</v>
      </c>
    </row>
    <row r="599" spans="1:9" ht="120" x14ac:dyDescent="0.2">
      <c r="A599" s="522">
        <v>576</v>
      </c>
      <c r="B599" s="537" t="s">
        <v>3883</v>
      </c>
      <c r="C599" s="520" t="s">
        <v>4075</v>
      </c>
      <c r="D599" s="519" t="s">
        <v>4269</v>
      </c>
      <c r="E599" s="66" t="s">
        <v>4270</v>
      </c>
      <c r="F599" s="555" t="s">
        <v>4252</v>
      </c>
      <c r="G599" s="555" t="s">
        <v>4305</v>
      </c>
      <c r="H599" s="549">
        <v>220</v>
      </c>
      <c r="I599" s="549">
        <v>220</v>
      </c>
    </row>
    <row r="600" spans="1:9" ht="108" x14ac:dyDescent="0.2">
      <c r="A600" s="522">
        <v>577</v>
      </c>
      <c r="B600" s="537" t="s">
        <v>4061</v>
      </c>
      <c r="C600" s="520" t="s">
        <v>4285</v>
      </c>
      <c r="D600" s="519" t="s">
        <v>4286</v>
      </c>
      <c r="E600" s="520" t="s">
        <v>4287</v>
      </c>
      <c r="F600" s="555" t="s">
        <v>4252</v>
      </c>
      <c r="G600" s="555" t="s">
        <v>4267</v>
      </c>
      <c r="H600" s="534">
        <v>2232</v>
      </c>
      <c r="I600" s="556">
        <v>2232</v>
      </c>
    </row>
    <row r="601" spans="1:9" ht="72" x14ac:dyDescent="0.2">
      <c r="A601" s="522">
        <v>578</v>
      </c>
      <c r="B601" s="537" t="s">
        <v>3337</v>
      </c>
      <c r="C601" s="520" t="s">
        <v>4294</v>
      </c>
      <c r="D601" s="519" t="s">
        <v>4293</v>
      </c>
      <c r="E601" s="520" t="s">
        <v>4295</v>
      </c>
      <c r="F601" s="555" t="s">
        <v>4252</v>
      </c>
      <c r="G601" s="555" t="s">
        <v>4252</v>
      </c>
      <c r="H601" s="549">
        <v>243</v>
      </c>
      <c r="I601" s="549">
        <v>243</v>
      </c>
    </row>
    <row r="602" spans="1:9" ht="132" x14ac:dyDescent="0.2">
      <c r="A602" s="522">
        <v>579</v>
      </c>
      <c r="B602" s="537" t="s">
        <v>4464</v>
      </c>
      <c r="C602" s="520" t="s">
        <v>4463</v>
      </c>
      <c r="D602" s="519" t="s">
        <v>4618</v>
      </c>
      <c r="E602" s="520" t="s">
        <v>4465</v>
      </c>
      <c r="F602" s="113" t="s">
        <v>4292</v>
      </c>
      <c r="G602" s="518" t="s">
        <v>4619</v>
      </c>
      <c r="H602" s="534">
        <v>51795</v>
      </c>
      <c r="I602" s="534">
        <v>12877</v>
      </c>
    </row>
    <row r="603" spans="1:9" ht="96" x14ac:dyDescent="0.2">
      <c r="A603" s="522">
        <v>580</v>
      </c>
      <c r="B603" s="537" t="s">
        <v>4461</v>
      </c>
      <c r="C603" s="520" t="s">
        <v>4462</v>
      </c>
      <c r="D603" s="519" t="s">
        <v>4459</v>
      </c>
      <c r="E603" s="520" t="s">
        <v>4460</v>
      </c>
      <c r="F603" s="113" t="s">
        <v>4292</v>
      </c>
      <c r="G603" s="518" t="s">
        <v>4292</v>
      </c>
      <c r="H603" s="534">
        <v>208</v>
      </c>
      <c r="I603" s="534">
        <f>H603-(0/1000*$J$5)</f>
        <v>208</v>
      </c>
    </row>
    <row r="604" spans="1:9" ht="108" x14ac:dyDescent="0.2">
      <c r="A604" s="522">
        <v>581</v>
      </c>
      <c r="B604" s="539" t="s">
        <v>4288</v>
      </c>
      <c r="C604" s="557" t="s">
        <v>4290</v>
      </c>
      <c r="D604" s="519" t="s">
        <v>4289</v>
      </c>
      <c r="E604" s="520" t="s">
        <v>4291</v>
      </c>
      <c r="F604" s="555" t="s">
        <v>4292</v>
      </c>
      <c r="G604" s="555" t="s">
        <v>4267</v>
      </c>
      <c r="H604" s="534">
        <v>2880</v>
      </c>
      <c r="I604" s="534">
        <v>2880</v>
      </c>
    </row>
    <row r="605" spans="1:9" ht="132" x14ac:dyDescent="0.2">
      <c r="A605" s="522">
        <v>582</v>
      </c>
      <c r="B605" s="537" t="s">
        <v>4390</v>
      </c>
      <c r="C605" s="520" t="s">
        <v>4396</v>
      </c>
      <c r="D605" s="519" t="s">
        <v>4348</v>
      </c>
      <c r="E605" s="520" t="s">
        <v>4389</v>
      </c>
      <c r="F605" s="113" t="s">
        <v>4292</v>
      </c>
      <c r="G605" s="518" t="s">
        <v>4349</v>
      </c>
      <c r="H605" s="534">
        <v>800</v>
      </c>
      <c r="I605" s="534">
        <v>800</v>
      </c>
    </row>
    <row r="606" spans="1:9" ht="84" x14ac:dyDescent="0.2">
      <c r="A606" s="522">
        <v>604</v>
      </c>
      <c r="B606" s="537" t="s">
        <v>4441</v>
      </c>
      <c r="C606" s="520" t="s">
        <v>4442</v>
      </c>
      <c r="D606" s="519" t="s">
        <v>4639</v>
      </c>
      <c r="E606" s="520" t="s">
        <v>4377</v>
      </c>
      <c r="F606" s="113" t="s">
        <v>4292</v>
      </c>
      <c r="G606" s="518" t="s">
        <v>4836</v>
      </c>
      <c r="H606" s="534">
        <v>2130927</v>
      </c>
      <c r="I606" s="534">
        <v>1648167</v>
      </c>
    </row>
    <row r="607" spans="1:9" ht="72" x14ac:dyDescent="0.2">
      <c r="A607" s="522">
        <v>583</v>
      </c>
      <c r="B607" s="537" t="s">
        <v>3337</v>
      </c>
      <c r="C607" s="520" t="s">
        <v>4294</v>
      </c>
      <c r="D607" s="519" t="s">
        <v>4296</v>
      </c>
      <c r="E607" s="520" t="s">
        <v>4297</v>
      </c>
      <c r="F607" s="555" t="s">
        <v>4298</v>
      </c>
      <c r="G607" s="555" t="s">
        <v>4298</v>
      </c>
      <c r="H607" s="549">
        <v>733</v>
      </c>
      <c r="I607" s="549">
        <v>733</v>
      </c>
    </row>
    <row r="608" spans="1:9" ht="72" x14ac:dyDescent="0.2">
      <c r="A608" s="522">
        <v>584</v>
      </c>
      <c r="B608" s="537" t="s">
        <v>3337</v>
      </c>
      <c r="C608" s="520" t="s">
        <v>4294</v>
      </c>
      <c r="D608" s="519" t="s">
        <v>4299</v>
      </c>
      <c r="E608" s="520" t="s">
        <v>4300</v>
      </c>
      <c r="F608" s="555" t="s">
        <v>4298</v>
      </c>
      <c r="G608" s="555" t="s">
        <v>4298</v>
      </c>
      <c r="H608" s="549">
        <v>487</v>
      </c>
      <c r="I608" s="549">
        <v>487</v>
      </c>
    </row>
    <row r="609" spans="1:9" ht="72.75" customHeight="1" x14ac:dyDescent="0.2">
      <c r="A609" s="522">
        <v>585</v>
      </c>
      <c r="B609" s="537" t="s">
        <v>4393</v>
      </c>
      <c r="C609" s="520" t="s">
        <v>4394</v>
      </c>
      <c r="D609" s="519" t="s">
        <v>4350</v>
      </c>
      <c r="E609" s="520" t="s">
        <v>4392</v>
      </c>
      <c r="F609" s="113" t="s">
        <v>4298</v>
      </c>
      <c r="G609" s="518" t="s">
        <v>4391</v>
      </c>
      <c r="H609" s="534">
        <v>90026</v>
      </c>
      <c r="I609" s="534">
        <v>85502</v>
      </c>
    </row>
    <row r="610" spans="1:9" ht="75.75" customHeight="1" x14ac:dyDescent="0.2">
      <c r="A610" s="522">
        <v>586</v>
      </c>
      <c r="B610" s="537" t="s">
        <v>4395</v>
      </c>
      <c r="C610" s="520" t="s">
        <v>4397</v>
      </c>
      <c r="D610" s="519" t="s">
        <v>4351</v>
      </c>
      <c r="E610" s="520" t="s">
        <v>4487</v>
      </c>
      <c r="F610" s="113" t="s">
        <v>4298</v>
      </c>
      <c r="G610" s="518" t="s">
        <v>4410</v>
      </c>
      <c r="H610" s="534">
        <v>318330</v>
      </c>
      <c r="I610" s="534">
        <v>278956</v>
      </c>
    </row>
    <row r="611" spans="1:9" ht="96" x14ac:dyDescent="0.2">
      <c r="A611" s="522">
        <v>587</v>
      </c>
      <c r="B611" s="537" t="s">
        <v>4399</v>
      </c>
      <c r="C611" s="520" t="s">
        <v>4398</v>
      </c>
      <c r="D611" s="519" t="s">
        <v>4352</v>
      </c>
      <c r="E611" s="520" t="s">
        <v>4353</v>
      </c>
      <c r="F611" s="113" t="s">
        <v>4354</v>
      </c>
      <c r="G611" s="518" t="s">
        <v>4355</v>
      </c>
      <c r="H611" s="534">
        <v>24725</v>
      </c>
      <c r="I611" s="534">
        <v>11532</v>
      </c>
    </row>
    <row r="612" spans="1:9" ht="96" x14ac:dyDescent="0.2">
      <c r="A612" s="522">
        <v>588</v>
      </c>
      <c r="B612" s="537" t="s">
        <v>4400</v>
      </c>
      <c r="C612" s="520" t="s">
        <v>4401</v>
      </c>
      <c r="D612" s="519" t="s">
        <v>4356</v>
      </c>
      <c r="E612" s="520" t="s">
        <v>4402</v>
      </c>
      <c r="F612" s="113" t="s">
        <v>4354</v>
      </c>
      <c r="G612" s="518" t="s">
        <v>4355</v>
      </c>
      <c r="H612" s="534">
        <v>14163</v>
      </c>
      <c r="I612" s="534">
        <v>4719</v>
      </c>
    </row>
    <row r="613" spans="1:9" ht="132" x14ac:dyDescent="0.2">
      <c r="A613" s="522">
        <v>589</v>
      </c>
      <c r="B613" s="537" t="s">
        <v>4403</v>
      </c>
      <c r="C613" s="520" t="s">
        <v>4404</v>
      </c>
      <c r="D613" s="519" t="s">
        <v>4357</v>
      </c>
      <c r="E613" s="520" t="s">
        <v>4406</v>
      </c>
      <c r="F613" s="113" t="s">
        <v>4354</v>
      </c>
      <c r="G613" s="518" t="s">
        <v>4405</v>
      </c>
      <c r="H613" s="534">
        <v>387</v>
      </c>
      <c r="I613" s="534">
        <f>H613-(0/1000*$J$5)</f>
        <v>387</v>
      </c>
    </row>
    <row r="614" spans="1:9" ht="156" x14ac:dyDescent="0.2">
      <c r="A614" s="522">
        <v>590</v>
      </c>
      <c r="B614" s="537" t="s">
        <v>4313</v>
      </c>
      <c r="C614" s="520" t="s">
        <v>4315</v>
      </c>
      <c r="D614" s="519" t="s">
        <v>4358</v>
      </c>
      <c r="E614" s="520" t="s">
        <v>4407</v>
      </c>
      <c r="F614" s="113" t="s">
        <v>4354</v>
      </c>
      <c r="G614" s="518" t="s">
        <v>4354</v>
      </c>
      <c r="H614" s="534">
        <v>109</v>
      </c>
      <c r="I614" s="534">
        <v>40</v>
      </c>
    </row>
    <row r="615" spans="1:9" ht="60" x14ac:dyDescent="0.2">
      <c r="A615" s="522">
        <v>591</v>
      </c>
      <c r="B615" s="537" t="s">
        <v>4408</v>
      </c>
      <c r="C615" s="520" t="s">
        <v>4409</v>
      </c>
      <c r="D615" s="519" t="s">
        <v>4643</v>
      </c>
      <c r="E615" s="520" t="s">
        <v>4359</v>
      </c>
      <c r="F615" s="113" t="s">
        <v>4354</v>
      </c>
      <c r="G615" s="518" t="s">
        <v>4410</v>
      </c>
      <c r="H615" s="534">
        <v>449641</v>
      </c>
      <c r="I615" s="534">
        <v>366736</v>
      </c>
    </row>
    <row r="616" spans="1:9" ht="84" x14ac:dyDescent="0.2">
      <c r="A616" s="522">
        <v>592</v>
      </c>
      <c r="B616" s="537" t="s">
        <v>4413</v>
      </c>
      <c r="C616" s="520" t="s">
        <v>4411</v>
      </c>
      <c r="D616" s="519" t="s">
        <v>4360</v>
      </c>
      <c r="E616" s="520" t="s">
        <v>4412</v>
      </c>
      <c r="F616" s="113" t="s">
        <v>4354</v>
      </c>
      <c r="G616" s="518" t="s">
        <v>4414</v>
      </c>
      <c r="H616" s="534">
        <v>18880</v>
      </c>
      <c r="I616" s="534">
        <v>18174</v>
      </c>
    </row>
    <row r="617" spans="1:9" ht="84" x14ac:dyDescent="0.2">
      <c r="A617" s="522">
        <v>593</v>
      </c>
      <c r="B617" s="537" t="s">
        <v>4417</v>
      </c>
      <c r="C617" s="520" t="s">
        <v>4415</v>
      </c>
      <c r="D617" s="519" t="s">
        <v>4361</v>
      </c>
      <c r="E617" s="520" t="s">
        <v>4362</v>
      </c>
      <c r="F617" s="113" t="s">
        <v>4243</v>
      </c>
      <c r="G617" s="518" t="s">
        <v>4416</v>
      </c>
      <c r="H617" s="534">
        <v>48556</v>
      </c>
      <c r="I617" s="534">
        <v>29399</v>
      </c>
    </row>
    <row r="618" spans="1:9" ht="48" x14ac:dyDescent="0.2">
      <c r="A618" s="522">
        <v>594</v>
      </c>
      <c r="B618" s="537" t="s">
        <v>4418</v>
      </c>
      <c r="C618" s="520" t="s">
        <v>4419</v>
      </c>
      <c r="D618" s="519" t="s">
        <v>4363</v>
      </c>
      <c r="E618" s="520" t="s">
        <v>4364</v>
      </c>
      <c r="F618" s="113" t="s">
        <v>4243</v>
      </c>
      <c r="G618" s="518" t="s">
        <v>4267</v>
      </c>
      <c r="H618" s="534">
        <v>3059</v>
      </c>
      <c r="I618" s="534">
        <f>H618-(0/1000*$J$5)</f>
        <v>3059</v>
      </c>
    </row>
    <row r="619" spans="1:9" ht="96" x14ac:dyDescent="0.2">
      <c r="A619" s="522">
        <v>595</v>
      </c>
      <c r="B619" s="537" t="s">
        <v>4420</v>
      </c>
      <c r="C619" s="520" t="s">
        <v>4422</v>
      </c>
      <c r="D619" s="519" t="s">
        <v>4642</v>
      </c>
      <c r="E619" s="520" t="s">
        <v>4365</v>
      </c>
      <c r="F619" s="113" t="s">
        <v>4243</v>
      </c>
      <c r="G619" s="518" t="s">
        <v>4615</v>
      </c>
      <c r="H619" s="534">
        <v>176291</v>
      </c>
      <c r="I619" s="534">
        <v>151383</v>
      </c>
    </row>
    <row r="620" spans="1:9" ht="60" x14ac:dyDescent="0.2">
      <c r="A620" s="522">
        <v>596</v>
      </c>
      <c r="B620" s="537" t="s">
        <v>4421</v>
      </c>
      <c r="C620" s="520" t="s">
        <v>4423</v>
      </c>
      <c r="D620" s="519" t="s">
        <v>4366</v>
      </c>
      <c r="E620" s="520" t="s">
        <v>4367</v>
      </c>
      <c r="F620" s="113" t="s">
        <v>4243</v>
      </c>
      <c r="G620" s="518" t="s">
        <v>4243</v>
      </c>
      <c r="H620" s="534">
        <v>6527</v>
      </c>
      <c r="I620" s="534">
        <v>5325</v>
      </c>
    </row>
    <row r="621" spans="1:9" ht="96" x14ac:dyDescent="0.2">
      <c r="A621" s="522">
        <v>597</v>
      </c>
      <c r="B621" s="537" t="s">
        <v>4506</v>
      </c>
      <c r="C621" s="520" t="s">
        <v>4424</v>
      </c>
      <c r="D621" s="519" t="s">
        <v>4368</v>
      </c>
      <c r="E621" s="520" t="s">
        <v>4425</v>
      </c>
      <c r="F621" s="113" t="s">
        <v>4304</v>
      </c>
      <c r="G621" s="518" t="s">
        <v>4416</v>
      </c>
      <c r="H621" s="534">
        <v>6411</v>
      </c>
      <c r="I621" s="534">
        <v>2979</v>
      </c>
    </row>
    <row r="622" spans="1:9" ht="108" x14ac:dyDescent="0.2">
      <c r="A622" s="522">
        <v>598</v>
      </c>
      <c r="B622" s="537" t="s">
        <v>4426</v>
      </c>
      <c r="C622" s="520" t="s">
        <v>4427</v>
      </c>
      <c r="D622" s="519" t="s">
        <v>4369</v>
      </c>
      <c r="E622" s="520" t="s">
        <v>4428</v>
      </c>
      <c r="F622" s="113" t="s">
        <v>4304</v>
      </c>
      <c r="G622" s="518" t="s">
        <v>4344</v>
      </c>
      <c r="H622" s="534">
        <v>4413</v>
      </c>
      <c r="I622" s="534">
        <v>4413</v>
      </c>
    </row>
    <row r="623" spans="1:9" ht="72" x14ac:dyDescent="0.2">
      <c r="A623" s="522">
        <v>599</v>
      </c>
      <c r="B623" s="537" t="s">
        <v>3337</v>
      </c>
      <c r="C623" s="520" t="s">
        <v>4429</v>
      </c>
      <c r="D623" s="519" t="s">
        <v>4370</v>
      </c>
      <c r="E623" s="520" t="s">
        <v>4430</v>
      </c>
      <c r="F623" s="113" t="s">
        <v>4243</v>
      </c>
      <c r="G623" s="518" t="s">
        <v>4344</v>
      </c>
      <c r="H623" s="534">
        <v>677</v>
      </c>
      <c r="I623" s="534">
        <f>H623-(0/1000*$J$5)</f>
        <v>677</v>
      </c>
    </row>
    <row r="624" spans="1:9" ht="132" x14ac:dyDescent="0.2">
      <c r="A624" s="522">
        <v>600</v>
      </c>
      <c r="B624" s="537" t="s">
        <v>4431</v>
      </c>
      <c r="C624" s="520" t="s">
        <v>4432</v>
      </c>
      <c r="D624" s="519" t="s">
        <v>4343</v>
      </c>
      <c r="E624" s="520" t="s">
        <v>4433</v>
      </c>
      <c r="F624" s="113" t="s">
        <v>4344</v>
      </c>
      <c r="G624" s="518" t="s">
        <v>4405</v>
      </c>
      <c r="H624" s="534">
        <v>3680</v>
      </c>
      <c r="I624" s="534">
        <f>H624-(0/1000*$J$5)</f>
        <v>3680</v>
      </c>
    </row>
    <row r="625" spans="1:10" ht="72" x14ac:dyDescent="0.2">
      <c r="A625" s="522">
        <v>601</v>
      </c>
      <c r="B625" s="537" t="s">
        <v>4434</v>
      </c>
      <c r="C625" s="520" t="s">
        <v>4435</v>
      </c>
      <c r="D625" s="519" t="s">
        <v>4371</v>
      </c>
      <c r="E625" s="520" t="s">
        <v>4372</v>
      </c>
      <c r="F625" s="113" t="s">
        <v>4344</v>
      </c>
      <c r="G625" s="518" t="s">
        <v>4267</v>
      </c>
      <c r="H625" s="534">
        <v>1390</v>
      </c>
      <c r="I625" s="534">
        <f>H625-((0)/1000*$J$5)</f>
        <v>1390</v>
      </c>
    </row>
    <row r="626" spans="1:10" ht="84" x14ac:dyDescent="0.2">
      <c r="A626" s="522">
        <v>602</v>
      </c>
      <c r="B626" s="537" t="s">
        <v>4436</v>
      </c>
      <c r="C626" s="520" t="s">
        <v>4437</v>
      </c>
      <c r="D626" s="519" t="s">
        <v>4373</v>
      </c>
      <c r="E626" s="520" t="s">
        <v>4438</v>
      </c>
      <c r="F626" s="113" t="s">
        <v>4344</v>
      </c>
      <c r="G626" s="518" t="s">
        <v>4355</v>
      </c>
      <c r="H626" s="534">
        <v>670</v>
      </c>
      <c r="I626" s="534">
        <f>H626-((0)/1000*$J$5)</f>
        <v>670</v>
      </c>
    </row>
    <row r="627" spans="1:10" ht="180" x14ac:dyDescent="0.2">
      <c r="A627" s="522">
        <v>603</v>
      </c>
      <c r="B627" s="537" t="s">
        <v>4439</v>
      </c>
      <c r="C627" s="520" t="s">
        <v>4440</v>
      </c>
      <c r="D627" s="519" t="s">
        <v>4374</v>
      </c>
      <c r="E627" s="520" t="s">
        <v>4375</v>
      </c>
      <c r="F627" s="113" t="s">
        <v>4344</v>
      </c>
      <c r="G627" s="518" t="s">
        <v>4376</v>
      </c>
      <c r="H627" s="534">
        <v>2400</v>
      </c>
      <c r="I627" s="534">
        <f>H627-((0)/1000*$J$5)</f>
        <v>2400</v>
      </c>
    </row>
    <row r="628" spans="1:10" ht="60" x14ac:dyDescent="0.2">
      <c r="A628" s="522">
        <v>604</v>
      </c>
      <c r="B628" s="537" t="s">
        <v>4444</v>
      </c>
      <c r="C628" s="520" t="s">
        <v>4423</v>
      </c>
      <c r="D628" s="519" t="s">
        <v>4378</v>
      </c>
      <c r="E628" s="520" t="s">
        <v>4445</v>
      </c>
      <c r="F628" s="113" t="s">
        <v>4355</v>
      </c>
      <c r="G628" s="518" t="s">
        <v>4379</v>
      </c>
      <c r="H628" s="534">
        <v>12757</v>
      </c>
      <c r="I628" s="534">
        <f>H628-(0/1000*$J$5)</f>
        <v>12757</v>
      </c>
    </row>
    <row r="629" spans="1:10" ht="60" x14ac:dyDescent="0.2">
      <c r="A629" s="522">
        <v>605</v>
      </c>
      <c r="B629" s="537" t="s">
        <v>4447</v>
      </c>
      <c r="C629" s="520" t="s">
        <v>4409</v>
      </c>
      <c r="D629" s="519" t="s">
        <v>4380</v>
      </c>
      <c r="E629" s="520" t="s">
        <v>4446</v>
      </c>
      <c r="F629" s="113" t="s">
        <v>4355</v>
      </c>
      <c r="G629" s="518" t="s">
        <v>4448</v>
      </c>
      <c r="H629" s="534">
        <v>221906</v>
      </c>
      <c r="I629" s="534">
        <f>H629-(0/1000*$J$5)</f>
        <v>221906</v>
      </c>
    </row>
    <row r="630" spans="1:10" ht="72" x14ac:dyDescent="0.2">
      <c r="A630" s="522">
        <v>606</v>
      </c>
      <c r="B630" s="537" t="s">
        <v>3337</v>
      </c>
      <c r="C630" s="520" t="s">
        <v>4449</v>
      </c>
      <c r="D630" s="519" t="s">
        <v>4381</v>
      </c>
      <c r="E630" s="520" t="s">
        <v>4382</v>
      </c>
      <c r="F630" s="113" t="s">
        <v>4355</v>
      </c>
      <c r="G630" s="518" t="s">
        <v>4450</v>
      </c>
      <c r="H630" s="534">
        <v>3041</v>
      </c>
      <c r="I630" s="534">
        <f>H630-(0/1000*$J$5)</f>
        <v>3041</v>
      </c>
    </row>
    <row r="631" spans="1:10" ht="156" x14ac:dyDescent="0.2">
      <c r="A631" s="522">
        <v>607</v>
      </c>
      <c r="B631" s="537" t="s">
        <v>4452</v>
      </c>
      <c r="C631" s="520" t="s">
        <v>4454</v>
      </c>
      <c r="D631" s="519" t="s">
        <v>4655</v>
      </c>
      <c r="E631" s="520" t="s">
        <v>4451</v>
      </c>
      <c r="F631" s="113" t="s">
        <v>4355</v>
      </c>
      <c r="G631" s="518" t="s">
        <v>4656</v>
      </c>
      <c r="H631" s="534">
        <v>45568</v>
      </c>
      <c r="I631" s="534">
        <v>23471</v>
      </c>
    </row>
    <row r="632" spans="1:10" ht="132" x14ac:dyDescent="0.2">
      <c r="A632" s="522">
        <v>608</v>
      </c>
      <c r="B632" s="537" t="s">
        <v>4453</v>
      </c>
      <c r="C632" s="520" t="s">
        <v>4396</v>
      </c>
      <c r="D632" s="519" t="s">
        <v>4383</v>
      </c>
      <c r="E632" s="520" t="s">
        <v>4384</v>
      </c>
      <c r="F632" s="113" t="s">
        <v>4355</v>
      </c>
      <c r="G632" s="518" t="s">
        <v>4385</v>
      </c>
      <c r="H632" s="534">
        <v>1701</v>
      </c>
      <c r="I632" s="534">
        <v>1381</v>
      </c>
    </row>
    <row r="633" spans="1:10" ht="84" x14ac:dyDescent="0.2">
      <c r="A633" s="522">
        <v>609</v>
      </c>
      <c r="B633" s="537" t="s">
        <v>4455</v>
      </c>
      <c r="C633" s="520" t="s">
        <v>4457</v>
      </c>
      <c r="D633" s="519" t="s">
        <v>4386</v>
      </c>
      <c r="E633" s="520" t="s">
        <v>4456</v>
      </c>
      <c r="F633" s="113" t="s">
        <v>4267</v>
      </c>
      <c r="G633" s="518" t="s">
        <v>4339</v>
      </c>
      <c r="H633" s="534">
        <v>635640</v>
      </c>
      <c r="I633" s="534">
        <v>635240</v>
      </c>
    </row>
    <row r="634" spans="1:10" ht="72" x14ac:dyDescent="0.2">
      <c r="A634" s="522">
        <v>610</v>
      </c>
      <c r="B634" s="537" t="s">
        <v>3337</v>
      </c>
      <c r="C634" s="520" t="s">
        <v>4458</v>
      </c>
      <c r="D634" s="519" t="s">
        <v>4387</v>
      </c>
      <c r="E634" s="520" t="s">
        <v>4388</v>
      </c>
      <c r="F634" s="113" t="s">
        <v>4267</v>
      </c>
      <c r="G634" s="518" t="s">
        <v>4267</v>
      </c>
      <c r="H634" s="534">
        <v>1196</v>
      </c>
      <c r="I634" s="534">
        <f>H634-(0/1000*$J$5)</f>
        <v>1196</v>
      </c>
    </row>
    <row r="635" spans="1:10" ht="72" x14ac:dyDescent="0.2">
      <c r="A635" s="522">
        <v>611</v>
      </c>
      <c r="B635" s="537" t="s">
        <v>4481</v>
      </c>
      <c r="C635" s="520" t="s">
        <v>4479</v>
      </c>
      <c r="D635" s="519" t="s">
        <v>4478</v>
      </c>
      <c r="E635" s="520" t="s">
        <v>4483</v>
      </c>
      <c r="F635" s="113" t="s">
        <v>4477</v>
      </c>
      <c r="G635" s="518" t="s">
        <v>4480</v>
      </c>
      <c r="H635" s="534">
        <v>13255</v>
      </c>
      <c r="I635" s="534">
        <v>13255</v>
      </c>
    </row>
    <row r="636" spans="1:10" ht="84" x14ac:dyDescent="0.2">
      <c r="A636" s="522">
        <v>612</v>
      </c>
      <c r="B636" s="537" t="s">
        <v>4464</v>
      </c>
      <c r="C636" s="520" t="s">
        <v>4474</v>
      </c>
      <c r="D636" s="519" t="s">
        <v>4475</v>
      </c>
      <c r="E636" s="520" t="s">
        <v>4476</v>
      </c>
      <c r="F636" s="113" t="s">
        <v>4477</v>
      </c>
      <c r="G636" s="518" t="s">
        <v>4338</v>
      </c>
      <c r="H636" s="534">
        <v>1158</v>
      </c>
      <c r="I636" s="534">
        <v>1158</v>
      </c>
    </row>
    <row r="637" spans="1:10" ht="96" x14ac:dyDescent="0.2">
      <c r="A637" s="522">
        <v>613</v>
      </c>
      <c r="B637" s="537" t="s">
        <v>4517</v>
      </c>
      <c r="C637" s="520" t="s">
        <v>4562</v>
      </c>
      <c r="D637" s="519" t="s">
        <v>4519</v>
      </c>
      <c r="E637" s="520" t="s">
        <v>4518</v>
      </c>
      <c r="F637" s="113" t="s">
        <v>4477</v>
      </c>
      <c r="G637" s="518" t="s">
        <v>4635</v>
      </c>
      <c r="H637" s="534">
        <v>989583</v>
      </c>
      <c r="I637" s="534">
        <v>69809</v>
      </c>
      <c r="J637" s="567"/>
    </row>
    <row r="638" spans="1:10" ht="120" x14ac:dyDescent="0.2">
      <c r="A638" s="522">
        <v>614</v>
      </c>
      <c r="B638" s="539" t="s">
        <v>4066</v>
      </c>
      <c r="C638" s="557" t="s">
        <v>4075</v>
      </c>
      <c r="D638" s="519" t="s">
        <v>4470</v>
      </c>
      <c r="E638" s="564" t="s">
        <v>4469</v>
      </c>
      <c r="F638" s="113" t="s">
        <v>4338</v>
      </c>
      <c r="G638" s="113" t="s">
        <v>4342</v>
      </c>
      <c r="H638" s="549">
        <v>317</v>
      </c>
      <c r="I638" s="549">
        <v>317</v>
      </c>
    </row>
    <row r="639" spans="1:10" ht="108" x14ac:dyDescent="0.2">
      <c r="A639" s="522">
        <v>615</v>
      </c>
      <c r="B639" s="539" t="s">
        <v>4288</v>
      </c>
      <c r="C639" s="557" t="s">
        <v>4290</v>
      </c>
      <c r="D639" s="519" t="s">
        <v>4493</v>
      </c>
      <c r="E639" s="520" t="s">
        <v>4494</v>
      </c>
      <c r="F639" s="113" t="s">
        <v>4338</v>
      </c>
      <c r="G639" s="113" t="s">
        <v>4496</v>
      </c>
      <c r="H639" s="549">
        <v>561</v>
      </c>
      <c r="I639" s="549">
        <v>561</v>
      </c>
    </row>
    <row r="640" spans="1:10" ht="120" x14ac:dyDescent="0.2">
      <c r="A640" s="522">
        <v>616</v>
      </c>
      <c r="B640" s="537" t="s">
        <v>4266</v>
      </c>
      <c r="C640" s="520" t="s">
        <v>4075</v>
      </c>
      <c r="D640" s="519" t="s">
        <v>4488</v>
      </c>
      <c r="E640" s="520" t="s">
        <v>4268</v>
      </c>
      <c r="F640" s="555" t="s">
        <v>4338</v>
      </c>
      <c r="G640" s="555" t="s">
        <v>4305</v>
      </c>
      <c r="H640" s="534">
        <v>410</v>
      </c>
      <c r="I640" s="549">
        <v>410</v>
      </c>
    </row>
    <row r="641" spans="1:9" ht="96" x14ac:dyDescent="0.2">
      <c r="A641" s="522">
        <v>617</v>
      </c>
      <c r="B641" s="537" t="s">
        <v>4393</v>
      </c>
      <c r="C641" s="520" t="s">
        <v>4394</v>
      </c>
      <c r="D641" s="519" t="s">
        <v>4486</v>
      </c>
      <c r="E641" s="564" t="s">
        <v>4485</v>
      </c>
      <c r="F641" s="113" t="s">
        <v>4338</v>
      </c>
      <c r="G641" s="113" t="s">
        <v>4342</v>
      </c>
      <c r="H641" s="549">
        <v>8100</v>
      </c>
      <c r="I641" s="549">
        <v>8100</v>
      </c>
    </row>
    <row r="642" spans="1:9" ht="84" x14ac:dyDescent="0.2">
      <c r="A642" s="522">
        <v>618</v>
      </c>
      <c r="B642" s="537" t="s">
        <v>4481</v>
      </c>
      <c r="C642" s="520" t="s">
        <v>4479</v>
      </c>
      <c r="D642" s="519" t="s">
        <v>4482</v>
      </c>
      <c r="E642" s="564" t="s">
        <v>4484</v>
      </c>
      <c r="F642" s="113" t="s">
        <v>4338</v>
      </c>
      <c r="G642" s="113" t="s">
        <v>4339</v>
      </c>
      <c r="H642" s="549">
        <v>1874</v>
      </c>
      <c r="I642" s="549">
        <v>1874</v>
      </c>
    </row>
    <row r="643" spans="1:9" ht="132" x14ac:dyDescent="0.2">
      <c r="A643" s="522">
        <v>619</v>
      </c>
      <c r="B643" s="539" t="s">
        <v>4471</v>
      </c>
      <c r="C643" s="520" t="s">
        <v>4467</v>
      </c>
      <c r="D643" s="519" t="s">
        <v>4466</v>
      </c>
      <c r="E643" s="564" t="s">
        <v>4468</v>
      </c>
      <c r="F643" s="113" t="s">
        <v>4338</v>
      </c>
      <c r="G643" s="113" t="s">
        <v>4342</v>
      </c>
      <c r="H643" s="549">
        <v>329</v>
      </c>
      <c r="I643" s="549">
        <v>329</v>
      </c>
    </row>
    <row r="644" spans="1:9" ht="108" x14ac:dyDescent="0.2">
      <c r="A644" s="522">
        <v>620</v>
      </c>
      <c r="B644" s="539" t="s">
        <v>4334</v>
      </c>
      <c r="C644" s="557" t="s">
        <v>4335</v>
      </c>
      <c r="D644" s="523" t="s">
        <v>4336</v>
      </c>
      <c r="E644" s="520" t="s">
        <v>4337</v>
      </c>
      <c r="F644" s="113" t="s">
        <v>4338</v>
      </c>
      <c r="G644" s="113" t="s">
        <v>4339</v>
      </c>
      <c r="H644" s="549">
        <v>997</v>
      </c>
      <c r="I644" s="549">
        <v>997</v>
      </c>
    </row>
    <row r="645" spans="1:9" ht="108" x14ac:dyDescent="0.2">
      <c r="A645" s="522">
        <v>621</v>
      </c>
      <c r="B645" s="539" t="s">
        <v>4288</v>
      </c>
      <c r="C645" s="557" t="s">
        <v>4290</v>
      </c>
      <c r="D645" s="519" t="s">
        <v>4473</v>
      </c>
      <c r="E645" s="520" t="s">
        <v>4472</v>
      </c>
      <c r="F645" s="113" t="s">
        <v>4338</v>
      </c>
      <c r="G645" s="113" t="s">
        <v>4342</v>
      </c>
      <c r="H645" s="549">
        <v>2925</v>
      </c>
      <c r="I645" s="549">
        <v>2925</v>
      </c>
    </row>
    <row r="646" spans="1:9" ht="120" x14ac:dyDescent="0.2">
      <c r="A646" s="522">
        <v>622</v>
      </c>
      <c r="B646" s="537" t="s">
        <v>4059</v>
      </c>
      <c r="C646" s="520" t="s">
        <v>3752</v>
      </c>
      <c r="D646" s="519" t="s">
        <v>4491</v>
      </c>
      <c r="E646" s="520" t="s">
        <v>4492</v>
      </c>
      <c r="F646" s="113" t="s">
        <v>4338</v>
      </c>
      <c r="G646" s="518" t="s">
        <v>4586</v>
      </c>
      <c r="H646" s="534">
        <v>245</v>
      </c>
      <c r="I646" s="534">
        <v>245</v>
      </c>
    </row>
    <row r="647" spans="1:9" ht="108" x14ac:dyDescent="0.2">
      <c r="A647" s="522">
        <v>623</v>
      </c>
      <c r="B647" s="537" t="s">
        <v>3967</v>
      </c>
      <c r="C647" s="520" t="s">
        <v>4563</v>
      </c>
      <c r="D647" s="519" t="s">
        <v>4648</v>
      </c>
      <c r="E647" s="520" t="s">
        <v>4525</v>
      </c>
      <c r="F647" s="113" t="s">
        <v>4338</v>
      </c>
      <c r="G647" s="518" t="s">
        <v>4621</v>
      </c>
      <c r="H647" s="534">
        <v>211644</v>
      </c>
      <c r="I647" s="534">
        <v>98805</v>
      </c>
    </row>
    <row r="648" spans="1:9" ht="48" x14ac:dyDescent="0.2">
      <c r="A648" s="522">
        <v>624</v>
      </c>
      <c r="B648" s="537" t="s">
        <v>4565</v>
      </c>
      <c r="C648" s="520" t="s">
        <v>4564</v>
      </c>
      <c r="D648" s="519" t="s">
        <v>4531</v>
      </c>
      <c r="E648" s="520" t="s">
        <v>4532</v>
      </c>
      <c r="F648" s="113" t="s">
        <v>4338</v>
      </c>
      <c r="G648" s="518" t="s">
        <v>4503</v>
      </c>
      <c r="H648" s="534">
        <v>38308</v>
      </c>
      <c r="I648" s="534">
        <v>38308</v>
      </c>
    </row>
    <row r="649" spans="1:9" ht="108" x14ac:dyDescent="0.2">
      <c r="A649" s="522">
        <v>625</v>
      </c>
      <c r="B649" s="539" t="s">
        <v>4334</v>
      </c>
      <c r="C649" s="557" t="s">
        <v>4335</v>
      </c>
      <c r="D649" s="519" t="s">
        <v>4340</v>
      </c>
      <c r="E649" s="520" t="s">
        <v>4341</v>
      </c>
      <c r="F649" s="113" t="s">
        <v>4339</v>
      </c>
      <c r="G649" s="113" t="s">
        <v>4342</v>
      </c>
      <c r="H649" s="549">
        <v>898</v>
      </c>
      <c r="I649" s="549">
        <v>898</v>
      </c>
    </row>
    <row r="650" spans="1:9" ht="72" x14ac:dyDescent="0.2">
      <c r="A650" s="522">
        <v>626</v>
      </c>
      <c r="B650" s="537" t="s">
        <v>4481</v>
      </c>
      <c r="C650" s="520" t="s">
        <v>4479</v>
      </c>
      <c r="D650" s="519" t="s">
        <v>4513</v>
      </c>
      <c r="E650" s="564" t="s">
        <v>4514</v>
      </c>
      <c r="F650" s="113" t="s">
        <v>4339</v>
      </c>
      <c r="G650" s="113" t="s">
        <v>4503</v>
      </c>
      <c r="H650" s="534">
        <v>2077</v>
      </c>
      <c r="I650" s="534">
        <v>2077</v>
      </c>
    </row>
    <row r="651" spans="1:9" ht="72" x14ac:dyDescent="0.2">
      <c r="A651" s="522">
        <v>627</v>
      </c>
      <c r="B651" s="537" t="s">
        <v>4464</v>
      </c>
      <c r="C651" s="520" t="s">
        <v>4463</v>
      </c>
      <c r="D651" s="519" t="s">
        <v>4620</v>
      </c>
      <c r="E651" s="520" t="s">
        <v>4502</v>
      </c>
      <c r="F651" s="113" t="s">
        <v>4339</v>
      </c>
      <c r="G651" s="518" t="s">
        <v>4621</v>
      </c>
      <c r="H651" s="534">
        <v>17367</v>
      </c>
      <c r="I651" s="534">
        <v>17367</v>
      </c>
    </row>
    <row r="652" spans="1:9" ht="72" x14ac:dyDescent="0.2">
      <c r="A652" s="522">
        <v>628</v>
      </c>
      <c r="B652" s="537" t="s">
        <v>4533</v>
      </c>
      <c r="C652" s="520" t="s">
        <v>4566</v>
      </c>
      <c r="D652" s="519" t="s">
        <v>4641</v>
      </c>
      <c r="E652" s="520" t="s">
        <v>4511</v>
      </c>
      <c r="F652" s="113" t="s">
        <v>4339</v>
      </c>
      <c r="G652" s="518" t="s">
        <v>4615</v>
      </c>
      <c r="H652" s="534">
        <v>390224</v>
      </c>
      <c r="I652" s="534">
        <v>306841</v>
      </c>
    </row>
    <row r="653" spans="1:9" ht="84" x14ac:dyDescent="0.2">
      <c r="A653" s="522">
        <v>629</v>
      </c>
      <c r="B653" s="537" t="s">
        <v>4455</v>
      </c>
      <c r="C653" s="520" t="s">
        <v>4457</v>
      </c>
      <c r="D653" s="519" t="s">
        <v>4520</v>
      </c>
      <c r="E653" s="520" t="s">
        <v>4521</v>
      </c>
      <c r="F653" s="113" t="s">
        <v>4339</v>
      </c>
      <c r="G653" s="518" t="s">
        <v>4588</v>
      </c>
      <c r="H653" s="534">
        <v>103400</v>
      </c>
      <c r="I653" s="534">
        <v>103400</v>
      </c>
    </row>
    <row r="654" spans="1:9" ht="96" x14ac:dyDescent="0.2">
      <c r="A654" s="522">
        <v>630</v>
      </c>
      <c r="B654" s="537" t="s">
        <v>4461</v>
      </c>
      <c r="C654" s="520" t="s">
        <v>4462</v>
      </c>
      <c r="D654" s="519" t="s">
        <v>4527</v>
      </c>
      <c r="E654" s="520" t="s">
        <v>4526</v>
      </c>
      <c r="F654" s="113" t="s">
        <v>4339</v>
      </c>
      <c r="G654" s="518" t="s">
        <v>4496</v>
      </c>
      <c r="H654" s="534">
        <v>3000</v>
      </c>
      <c r="I654" s="534">
        <v>3000</v>
      </c>
    </row>
    <row r="655" spans="1:9" ht="72" x14ac:dyDescent="0.2">
      <c r="A655" s="522">
        <v>631</v>
      </c>
      <c r="B655" s="537" t="s">
        <v>4533</v>
      </c>
      <c r="C655" s="520" t="s">
        <v>4567</v>
      </c>
      <c r="D655" s="519" t="s">
        <v>4640</v>
      </c>
      <c r="E655" s="520" t="s">
        <v>4512</v>
      </c>
      <c r="F655" s="113" t="s">
        <v>4480</v>
      </c>
      <c r="G655" s="518" t="s">
        <v>4632</v>
      </c>
      <c r="H655" s="534">
        <v>354513</v>
      </c>
      <c r="I655" s="534">
        <v>347172</v>
      </c>
    </row>
    <row r="656" spans="1:9" ht="120" x14ac:dyDescent="0.2">
      <c r="A656" s="522">
        <v>632</v>
      </c>
      <c r="B656" s="537" t="s">
        <v>4266</v>
      </c>
      <c r="C656" s="520" t="s">
        <v>4075</v>
      </c>
      <c r="D656" s="519" t="s">
        <v>4489</v>
      </c>
      <c r="E656" s="520" t="s">
        <v>4490</v>
      </c>
      <c r="F656" s="555" t="s">
        <v>4480</v>
      </c>
      <c r="G656" s="555" t="s">
        <v>4333</v>
      </c>
      <c r="H656" s="534">
        <v>208</v>
      </c>
      <c r="I656" s="549">
        <v>208</v>
      </c>
    </row>
    <row r="657" spans="1:10" ht="48" x14ac:dyDescent="0.2">
      <c r="A657" s="522">
        <v>633</v>
      </c>
      <c r="B657" s="537" t="s">
        <v>4569</v>
      </c>
      <c r="C657" s="520" t="s">
        <v>4568</v>
      </c>
      <c r="D657" s="519" t="s">
        <v>4509</v>
      </c>
      <c r="E657" s="520" t="s">
        <v>4510</v>
      </c>
      <c r="F657" s="555" t="s">
        <v>4480</v>
      </c>
      <c r="G657" s="555" t="s">
        <v>4305</v>
      </c>
      <c r="H657" s="534">
        <v>4165</v>
      </c>
      <c r="I657" s="534">
        <v>4165</v>
      </c>
    </row>
    <row r="658" spans="1:10" ht="120" x14ac:dyDescent="0.2">
      <c r="A658" s="522">
        <v>634</v>
      </c>
      <c r="B658" s="537" t="s">
        <v>4570</v>
      </c>
      <c r="C658" s="520" t="s">
        <v>4657</v>
      </c>
      <c r="D658" s="519" t="s">
        <v>4658</v>
      </c>
      <c r="E658" s="520" t="s">
        <v>4575</v>
      </c>
      <c r="F658" s="555" t="s">
        <v>4480</v>
      </c>
      <c r="G658" s="555" t="s">
        <v>4586</v>
      </c>
      <c r="H658" s="534">
        <v>65557</v>
      </c>
      <c r="I658" s="534">
        <v>65557</v>
      </c>
    </row>
    <row r="659" spans="1:10" ht="60" x14ac:dyDescent="0.2">
      <c r="A659" s="522">
        <v>635</v>
      </c>
      <c r="B659" s="539" t="s">
        <v>3795</v>
      </c>
      <c r="C659" s="557" t="s">
        <v>4497</v>
      </c>
      <c r="D659" s="519" t="s">
        <v>4498</v>
      </c>
      <c r="E659" s="520" t="s">
        <v>4495</v>
      </c>
      <c r="F659" s="555" t="s">
        <v>4496</v>
      </c>
      <c r="G659" s="555" t="s">
        <v>4590</v>
      </c>
      <c r="H659" s="534">
        <v>9865</v>
      </c>
      <c r="I659" s="534">
        <v>9865</v>
      </c>
      <c r="J659" s="568"/>
    </row>
    <row r="660" spans="1:10" ht="84" x14ac:dyDescent="0.2">
      <c r="A660" s="522">
        <v>636</v>
      </c>
      <c r="B660" s="537" t="s">
        <v>4499</v>
      </c>
      <c r="C660" s="520" t="s">
        <v>4571</v>
      </c>
      <c r="D660" s="519" t="s">
        <v>4501</v>
      </c>
      <c r="E660" s="520" t="s">
        <v>4500</v>
      </c>
      <c r="F660" s="113" t="s">
        <v>4496</v>
      </c>
      <c r="G660" s="518" t="s">
        <v>4589</v>
      </c>
      <c r="H660" s="534">
        <v>55831</v>
      </c>
      <c r="I660" s="534">
        <v>55831</v>
      </c>
    </row>
    <row r="661" spans="1:10" ht="96" x14ac:dyDescent="0.2">
      <c r="A661" s="522">
        <v>637</v>
      </c>
      <c r="B661" s="537" t="s">
        <v>4506</v>
      </c>
      <c r="C661" s="520" t="s">
        <v>4424</v>
      </c>
      <c r="D661" s="519" t="s">
        <v>4507</v>
      </c>
      <c r="E661" s="520" t="s">
        <v>4508</v>
      </c>
      <c r="F661" s="113" t="s">
        <v>4496</v>
      </c>
      <c r="G661" s="518" t="s">
        <v>4590</v>
      </c>
      <c r="H661" s="534">
        <v>595809</v>
      </c>
      <c r="I661" s="534">
        <v>391038</v>
      </c>
    </row>
    <row r="662" spans="1:10" ht="72" x14ac:dyDescent="0.2">
      <c r="A662" s="522">
        <v>638</v>
      </c>
      <c r="B662" s="537" t="s">
        <v>3337</v>
      </c>
      <c r="C662" s="520" t="s">
        <v>4449</v>
      </c>
      <c r="D662" s="519" t="s">
        <v>4516</v>
      </c>
      <c r="E662" s="520" t="s">
        <v>4515</v>
      </c>
      <c r="F662" s="113" t="s">
        <v>4496</v>
      </c>
      <c r="G662" s="518" t="s">
        <v>4496</v>
      </c>
      <c r="H662" s="534">
        <v>447</v>
      </c>
      <c r="I662" s="534">
        <v>447</v>
      </c>
    </row>
    <row r="663" spans="1:10" ht="96" x14ac:dyDescent="0.2">
      <c r="A663" s="522">
        <v>639</v>
      </c>
      <c r="B663" s="537" t="s">
        <v>4573</v>
      </c>
      <c r="C663" s="520" t="s">
        <v>4572</v>
      </c>
      <c r="D663" s="519" t="s">
        <v>4537</v>
      </c>
      <c r="E663" s="520" t="s">
        <v>4536</v>
      </c>
      <c r="F663" s="113" t="s">
        <v>4496</v>
      </c>
      <c r="G663" s="518" t="s">
        <v>4333</v>
      </c>
      <c r="H663" s="534">
        <v>6210</v>
      </c>
      <c r="I663" s="534">
        <v>6210</v>
      </c>
    </row>
    <row r="664" spans="1:10" ht="72" x14ac:dyDescent="0.2">
      <c r="A664" s="522">
        <v>640</v>
      </c>
      <c r="B664" s="537" t="s">
        <v>4522</v>
      </c>
      <c r="C664" s="520" t="s">
        <v>4574</v>
      </c>
      <c r="D664" s="519" t="s">
        <v>4523</v>
      </c>
      <c r="E664" s="520" t="s">
        <v>4524</v>
      </c>
      <c r="F664" s="113" t="s">
        <v>4333</v>
      </c>
      <c r="G664" s="518" t="s">
        <v>4589</v>
      </c>
      <c r="H664" s="534">
        <v>60460</v>
      </c>
      <c r="I664" s="534">
        <v>60460</v>
      </c>
      <c r="J664" s="568"/>
    </row>
    <row r="665" spans="1:10" ht="48" x14ac:dyDescent="0.2">
      <c r="A665" s="522">
        <v>641</v>
      </c>
      <c r="B665" s="537" t="s">
        <v>4528</v>
      </c>
      <c r="C665" s="520" t="s">
        <v>4591</v>
      </c>
      <c r="D665" s="519" t="s">
        <v>4530</v>
      </c>
      <c r="E665" s="520" t="s">
        <v>4529</v>
      </c>
      <c r="F665" s="113" t="s">
        <v>4305</v>
      </c>
      <c r="G665" s="518" t="s">
        <v>4342</v>
      </c>
      <c r="H665" s="534">
        <v>1200</v>
      </c>
      <c r="I665" s="534">
        <v>1200</v>
      </c>
    </row>
    <row r="666" spans="1:10" ht="60" x14ac:dyDescent="0.2">
      <c r="A666" s="522">
        <v>642</v>
      </c>
      <c r="B666" s="537" t="s">
        <v>4576</v>
      </c>
      <c r="C666" s="565" t="s">
        <v>4577</v>
      </c>
      <c r="D666" s="566" t="s">
        <v>4541</v>
      </c>
      <c r="E666" s="520" t="s">
        <v>4542</v>
      </c>
      <c r="F666" s="113" t="s">
        <v>4305</v>
      </c>
      <c r="G666" s="518" t="s">
        <v>4305</v>
      </c>
      <c r="H666" s="534">
        <v>195</v>
      </c>
      <c r="I666" s="534">
        <v>195</v>
      </c>
    </row>
    <row r="667" spans="1:10" ht="60" x14ac:dyDescent="0.2">
      <c r="A667" s="522">
        <v>643</v>
      </c>
      <c r="B667" s="537" t="s">
        <v>4543</v>
      </c>
      <c r="C667" s="565" t="s">
        <v>4578</v>
      </c>
      <c r="D667" s="566" t="s">
        <v>4544</v>
      </c>
      <c r="E667" s="520" t="s">
        <v>4545</v>
      </c>
      <c r="F667" s="555" t="s">
        <v>4546</v>
      </c>
      <c r="G667" s="555" t="s">
        <v>4546</v>
      </c>
      <c r="H667" s="534">
        <v>4870</v>
      </c>
      <c r="I667" s="549">
        <v>4870</v>
      </c>
    </row>
    <row r="668" spans="1:10" ht="72" x14ac:dyDescent="0.2">
      <c r="A668" s="522">
        <v>644</v>
      </c>
      <c r="B668" s="537" t="s">
        <v>4464</v>
      </c>
      <c r="C668" s="520" t="s">
        <v>4463</v>
      </c>
      <c r="D668" s="519" t="s">
        <v>4505</v>
      </c>
      <c r="E668" s="520" t="s">
        <v>4504</v>
      </c>
      <c r="F668" s="113" t="s">
        <v>4503</v>
      </c>
      <c r="G668" s="518" t="s">
        <v>4588</v>
      </c>
      <c r="H668" s="534">
        <v>13343</v>
      </c>
      <c r="I668" s="534">
        <v>7085</v>
      </c>
    </row>
    <row r="669" spans="1:10" ht="108" x14ac:dyDescent="0.2">
      <c r="A669" s="522">
        <v>645</v>
      </c>
      <c r="B669" s="537" t="s">
        <v>4579</v>
      </c>
      <c r="C669" s="520" t="s">
        <v>4580</v>
      </c>
      <c r="D669" s="519" t="s">
        <v>4534</v>
      </c>
      <c r="E669" s="520" t="s">
        <v>4535</v>
      </c>
      <c r="F669" s="555" t="s">
        <v>4503</v>
      </c>
      <c r="G669" s="555" t="s">
        <v>4342</v>
      </c>
      <c r="H669" s="534">
        <v>2928</v>
      </c>
      <c r="I669" s="549">
        <v>2928</v>
      </c>
    </row>
    <row r="670" spans="1:10" ht="60" x14ac:dyDescent="0.2">
      <c r="A670" s="522">
        <v>646</v>
      </c>
      <c r="B670" s="539" t="s">
        <v>4540</v>
      </c>
      <c r="C670" s="565" t="s">
        <v>4581</v>
      </c>
      <c r="D670" s="566" t="s">
        <v>4538</v>
      </c>
      <c r="E670" s="520" t="s">
        <v>4539</v>
      </c>
      <c r="F670" s="555" t="s">
        <v>4342</v>
      </c>
      <c r="G670" s="555" t="s">
        <v>4342</v>
      </c>
      <c r="H670" s="534">
        <v>87</v>
      </c>
      <c r="I670" s="549">
        <v>87</v>
      </c>
    </row>
    <row r="671" spans="1:10" ht="144" x14ac:dyDescent="0.2">
      <c r="A671" s="522">
        <v>647</v>
      </c>
      <c r="B671" s="539" t="s">
        <v>4551</v>
      </c>
      <c r="C671" s="565" t="s">
        <v>4550</v>
      </c>
      <c r="D671" s="566" t="s">
        <v>4552</v>
      </c>
      <c r="E671" s="520" t="s">
        <v>4553</v>
      </c>
      <c r="F671" s="555" t="s">
        <v>4342</v>
      </c>
      <c r="G671" s="569" t="s">
        <v>4586</v>
      </c>
      <c r="H671" s="534">
        <v>330</v>
      </c>
      <c r="I671" s="549">
        <v>330</v>
      </c>
    </row>
    <row r="672" spans="1:10" ht="96" x14ac:dyDescent="0.2">
      <c r="A672" s="522">
        <v>648</v>
      </c>
      <c r="B672" s="539" t="s">
        <v>4585</v>
      </c>
      <c r="C672" s="565" t="s">
        <v>4584</v>
      </c>
      <c r="D672" s="566" t="s">
        <v>4557</v>
      </c>
      <c r="E672" s="520" t="s">
        <v>4556</v>
      </c>
      <c r="F672" s="555" t="s">
        <v>4342</v>
      </c>
      <c r="G672" s="555" t="s">
        <v>4443</v>
      </c>
      <c r="H672" s="534">
        <v>4656</v>
      </c>
      <c r="I672" s="534">
        <v>4656</v>
      </c>
    </row>
    <row r="673" spans="1:9" ht="96" x14ac:dyDescent="0.2">
      <c r="A673" s="522">
        <v>649</v>
      </c>
      <c r="B673" s="537" t="s">
        <v>4582</v>
      </c>
      <c r="C673" s="565" t="s">
        <v>4714</v>
      </c>
      <c r="D673" s="566" t="s">
        <v>4558</v>
      </c>
      <c r="E673" s="520" t="s">
        <v>4559</v>
      </c>
      <c r="F673" s="555" t="s">
        <v>4342</v>
      </c>
      <c r="G673" s="555" t="s">
        <v>4549</v>
      </c>
      <c r="H673" s="534">
        <v>1177</v>
      </c>
      <c r="I673" s="534">
        <v>1177</v>
      </c>
    </row>
    <row r="674" spans="1:9" ht="132" x14ac:dyDescent="0.2">
      <c r="A674" s="522">
        <v>650</v>
      </c>
      <c r="B674" s="537" t="s">
        <v>4533</v>
      </c>
      <c r="C674" s="565" t="s">
        <v>4583</v>
      </c>
      <c r="D674" s="566" t="s">
        <v>4560</v>
      </c>
      <c r="E674" s="520" t="s">
        <v>4561</v>
      </c>
      <c r="F674" s="555" t="s">
        <v>4342</v>
      </c>
      <c r="G674" s="555" t="s">
        <v>4443</v>
      </c>
      <c r="H674" s="534">
        <v>3810</v>
      </c>
      <c r="I674" s="534">
        <v>3810</v>
      </c>
    </row>
    <row r="675" spans="1:9" ht="72" x14ac:dyDescent="0.2">
      <c r="A675" s="522">
        <v>651</v>
      </c>
      <c r="B675" s="537" t="s">
        <v>4604</v>
      </c>
      <c r="C675" s="520" t="s">
        <v>4607</v>
      </c>
      <c r="D675" s="519" t="s">
        <v>4623</v>
      </c>
      <c r="E675" s="520" t="s">
        <v>4624</v>
      </c>
      <c r="F675" s="555" t="s">
        <v>4342</v>
      </c>
      <c r="G675" s="555" t="s">
        <v>4593</v>
      </c>
      <c r="H675" s="534">
        <v>2452</v>
      </c>
      <c r="I675" s="534">
        <v>2452</v>
      </c>
    </row>
    <row r="676" spans="1:9" ht="96" x14ac:dyDescent="0.2">
      <c r="A676" s="522">
        <v>652</v>
      </c>
      <c r="B676" s="537" t="s">
        <v>4667</v>
      </c>
      <c r="C676" s="520" t="s">
        <v>4668</v>
      </c>
      <c r="D676" s="519" t="s">
        <v>4666</v>
      </c>
      <c r="E676" s="520" t="s">
        <v>4669</v>
      </c>
      <c r="F676" s="555" t="s">
        <v>4342</v>
      </c>
      <c r="G676" s="555" t="s">
        <v>4615</v>
      </c>
      <c r="H676" s="534">
        <v>26326</v>
      </c>
      <c r="I676" s="534">
        <v>13712</v>
      </c>
    </row>
    <row r="677" spans="1:9" ht="84" x14ac:dyDescent="0.2">
      <c r="A677" s="522">
        <v>653</v>
      </c>
      <c r="B677" s="537" t="s">
        <v>4644</v>
      </c>
      <c r="C677" s="520" t="s">
        <v>4645</v>
      </c>
      <c r="D677" s="519" t="s">
        <v>4646</v>
      </c>
      <c r="E677" s="520" t="s">
        <v>4647</v>
      </c>
      <c r="F677" s="555" t="s">
        <v>4549</v>
      </c>
      <c r="G677" s="555" t="s">
        <v>4632</v>
      </c>
      <c r="H677" s="534">
        <v>595431</v>
      </c>
      <c r="I677" s="534">
        <v>411406</v>
      </c>
    </row>
    <row r="678" spans="1:9" ht="108" x14ac:dyDescent="0.2">
      <c r="A678" s="522">
        <v>654</v>
      </c>
      <c r="B678" s="539" t="s">
        <v>4334</v>
      </c>
      <c r="C678" s="557" t="s">
        <v>4335</v>
      </c>
      <c r="D678" s="519" t="s">
        <v>4547</v>
      </c>
      <c r="E678" s="520" t="s">
        <v>4548</v>
      </c>
      <c r="F678" s="555" t="s">
        <v>4549</v>
      </c>
      <c r="G678" s="555" t="s">
        <v>4443</v>
      </c>
      <c r="H678" s="534">
        <v>1300</v>
      </c>
      <c r="I678" s="549">
        <v>1300</v>
      </c>
    </row>
    <row r="679" spans="1:9" ht="84" x14ac:dyDescent="0.2">
      <c r="A679" s="522">
        <v>655</v>
      </c>
      <c r="B679" s="537" t="s">
        <v>4464</v>
      </c>
      <c r="C679" s="520" t="s">
        <v>4662</v>
      </c>
      <c r="D679" s="519" t="s">
        <v>4555</v>
      </c>
      <c r="E679" s="520" t="s">
        <v>4554</v>
      </c>
      <c r="F679" s="555" t="s">
        <v>4549</v>
      </c>
      <c r="G679" s="555" t="s">
        <v>4589</v>
      </c>
      <c r="H679" s="534">
        <v>18840</v>
      </c>
      <c r="I679" s="534">
        <v>18840</v>
      </c>
    </row>
    <row r="680" spans="1:9" ht="72" x14ac:dyDescent="0.2">
      <c r="A680" s="522">
        <v>656</v>
      </c>
      <c r="B680" s="537" t="s">
        <v>4604</v>
      </c>
      <c r="C680" s="520" t="s">
        <v>4661</v>
      </c>
      <c r="D680" s="519" t="s">
        <v>4606</v>
      </c>
      <c r="E680" s="520" t="s">
        <v>4608</v>
      </c>
      <c r="F680" s="555" t="s">
        <v>4549</v>
      </c>
      <c r="G680" s="555" t="s">
        <v>4622</v>
      </c>
      <c r="H680" s="534">
        <v>15831</v>
      </c>
      <c r="I680" s="534">
        <v>11294</v>
      </c>
    </row>
    <row r="681" spans="1:9" ht="144" x14ac:dyDescent="0.2">
      <c r="A681" s="522">
        <v>657</v>
      </c>
      <c r="B681" s="537" t="s">
        <v>4660</v>
      </c>
      <c r="C681" s="520" t="s">
        <v>4663</v>
      </c>
      <c r="D681" s="519" t="s">
        <v>4659</v>
      </c>
      <c r="E681" s="520" t="s">
        <v>4664</v>
      </c>
      <c r="F681" s="555" t="s">
        <v>4665</v>
      </c>
      <c r="G681" s="555" t="s">
        <v>4615</v>
      </c>
      <c r="H681" s="534">
        <v>5535</v>
      </c>
      <c r="I681" s="534">
        <v>5535</v>
      </c>
    </row>
    <row r="682" spans="1:9" ht="60" x14ac:dyDescent="0.2">
      <c r="A682" s="522">
        <v>658</v>
      </c>
      <c r="B682" s="537" t="s">
        <v>4682</v>
      </c>
      <c r="C682" s="520" t="s">
        <v>4685</v>
      </c>
      <c r="D682" s="519" t="s">
        <v>4683</v>
      </c>
      <c r="E682" s="520" t="s">
        <v>4684</v>
      </c>
      <c r="F682" s="555" t="s">
        <v>4443</v>
      </c>
      <c r="G682" s="555" t="s">
        <v>4587</v>
      </c>
      <c r="H682" s="534">
        <v>874</v>
      </c>
      <c r="I682" s="534">
        <v>874</v>
      </c>
    </row>
    <row r="683" spans="1:9" ht="120" x14ac:dyDescent="0.2">
      <c r="A683" s="522">
        <v>659</v>
      </c>
      <c r="B683" s="537" t="s">
        <v>4693</v>
      </c>
      <c r="C683" s="520" t="s">
        <v>4694</v>
      </c>
      <c r="D683" s="519" t="s">
        <v>4692</v>
      </c>
      <c r="E683" s="520" t="s">
        <v>4695</v>
      </c>
      <c r="F683" s="555" t="s">
        <v>4589</v>
      </c>
      <c r="G683" s="555" t="s">
        <v>4631</v>
      </c>
      <c r="H683" s="534">
        <v>600</v>
      </c>
      <c r="I683" s="534">
        <v>600</v>
      </c>
    </row>
    <row r="684" spans="1:9" ht="60" x14ac:dyDescent="0.2">
      <c r="A684" s="522">
        <v>660</v>
      </c>
      <c r="B684" s="537" t="s">
        <v>4686</v>
      </c>
      <c r="C684" s="520" t="s">
        <v>4688</v>
      </c>
      <c r="D684" s="519" t="s">
        <v>4687</v>
      </c>
      <c r="E684" s="520" t="s">
        <v>4689</v>
      </c>
      <c r="F684" s="555" t="s">
        <v>4589</v>
      </c>
      <c r="G684" s="555" t="s">
        <v>4588</v>
      </c>
      <c r="H684" s="534">
        <v>271</v>
      </c>
      <c r="I684" s="534">
        <v>271</v>
      </c>
    </row>
    <row r="685" spans="1:9" ht="60" x14ac:dyDescent="0.2">
      <c r="A685" s="522">
        <v>661</v>
      </c>
      <c r="B685" s="537" t="s">
        <v>4543</v>
      </c>
      <c r="C685" s="572" t="s">
        <v>4671</v>
      </c>
      <c r="D685" s="519" t="s">
        <v>4670</v>
      </c>
      <c r="E685" s="520" t="s">
        <v>4672</v>
      </c>
      <c r="F685" s="555" t="s">
        <v>4589</v>
      </c>
      <c r="G685" s="555" t="s">
        <v>4587</v>
      </c>
      <c r="H685" s="534">
        <v>6187</v>
      </c>
      <c r="I685" s="534">
        <v>6187</v>
      </c>
    </row>
    <row r="686" spans="1:9" ht="108" x14ac:dyDescent="0.2">
      <c r="A686" s="522">
        <v>662</v>
      </c>
      <c r="B686" s="537" t="s">
        <v>3967</v>
      </c>
      <c r="C686" s="520" t="s">
        <v>4563</v>
      </c>
      <c r="D686" s="519" t="s">
        <v>4649</v>
      </c>
      <c r="E686" s="520" t="s">
        <v>4650</v>
      </c>
      <c r="F686" s="555" t="s">
        <v>4588</v>
      </c>
      <c r="G686" s="555" t="s">
        <v>4621</v>
      </c>
      <c r="H686" s="534">
        <v>19980</v>
      </c>
      <c r="I686" s="534">
        <v>19980</v>
      </c>
    </row>
    <row r="687" spans="1:9" ht="108" x14ac:dyDescent="0.2">
      <c r="A687" s="522">
        <v>663</v>
      </c>
      <c r="B687" s="539" t="s">
        <v>4597</v>
      </c>
      <c r="C687" s="565" t="s">
        <v>4598</v>
      </c>
      <c r="D687" s="519" t="s">
        <v>4595</v>
      </c>
      <c r="E687" s="520" t="s">
        <v>4596</v>
      </c>
      <c r="F687" s="113" t="s">
        <v>4588</v>
      </c>
      <c r="G687" s="113" t="s">
        <v>4587</v>
      </c>
      <c r="H687" s="534">
        <v>2007</v>
      </c>
      <c r="I687" s="534">
        <v>2007</v>
      </c>
    </row>
    <row r="688" spans="1:9" ht="48" x14ac:dyDescent="0.2">
      <c r="A688" s="522">
        <v>664</v>
      </c>
      <c r="B688" s="537" t="s">
        <v>4528</v>
      </c>
      <c r="C688" s="520" t="s">
        <v>4591</v>
      </c>
      <c r="D688" s="519" t="s">
        <v>4690</v>
      </c>
      <c r="E688" s="520" t="s">
        <v>4691</v>
      </c>
      <c r="F688" s="113" t="s">
        <v>4588</v>
      </c>
      <c r="G688" s="113" t="s">
        <v>4587</v>
      </c>
      <c r="H688" s="534">
        <v>3000</v>
      </c>
      <c r="I688" s="534">
        <v>3000</v>
      </c>
    </row>
    <row r="689" spans="1:9" ht="60" x14ac:dyDescent="0.2">
      <c r="A689" s="522">
        <v>665</v>
      </c>
      <c r="B689" s="539" t="s">
        <v>4594</v>
      </c>
      <c r="C689" s="520" t="s">
        <v>4497</v>
      </c>
      <c r="D689" s="523" t="s">
        <v>4599</v>
      </c>
      <c r="E689" s="520" t="s">
        <v>4601</v>
      </c>
      <c r="F689" s="113" t="s">
        <v>4588</v>
      </c>
      <c r="G689" s="113" t="s">
        <v>4616</v>
      </c>
      <c r="H689" s="534">
        <v>183585</v>
      </c>
      <c r="I689" s="534">
        <v>100032</v>
      </c>
    </row>
    <row r="690" spans="1:9" ht="96" x14ac:dyDescent="0.2">
      <c r="A690" s="522">
        <v>666</v>
      </c>
      <c r="B690" s="539" t="s">
        <v>4625</v>
      </c>
      <c r="C690" s="520" t="s">
        <v>4424</v>
      </c>
      <c r="D690" s="519" t="s">
        <v>4626</v>
      </c>
      <c r="E690" s="520" t="s">
        <v>4627</v>
      </c>
      <c r="F690" s="113" t="s">
        <v>4593</v>
      </c>
      <c r="G690" s="113" t="s">
        <v>4621</v>
      </c>
      <c r="H690" s="534">
        <v>38380</v>
      </c>
      <c r="I690" s="534">
        <v>32123</v>
      </c>
    </row>
    <row r="691" spans="1:9" ht="144" x14ac:dyDescent="0.2">
      <c r="A691" s="522">
        <v>667</v>
      </c>
      <c r="B691" s="539" t="s">
        <v>4709</v>
      </c>
      <c r="C691" s="520" t="s">
        <v>4701</v>
      </c>
      <c r="D691" s="519" t="s">
        <v>4700</v>
      </c>
      <c r="E691" s="520" t="s">
        <v>4715</v>
      </c>
      <c r="F691" s="113" t="s">
        <v>4593</v>
      </c>
      <c r="G691" s="113" t="s">
        <v>4587</v>
      </c>
      <c r="H691" s="534">
        <v>539</v>
      </c>
      <c r="I691" s="534">
        <v>539</v>
      </c>
    </row>
    <row r="692" spans="1:9" ht="96" x14ac:dyDescent="0.2">
      <c r="A692" s="522">
        <v>668</v>
      </c>
      <c r="B692" s="539" t="s">
        <v>4697</v>
      </c>
      <c r="C692" s="520" t="s">
        <v>4462</v>
      </c>
      <c r="D692" s="519" t="s">
        <v>4698</v>
      </c>
      <c r="E692" s="520" t="s">
        <v>4699</v>
      </c>
      <c r="F692" s="113" t="s">
        <v>4593</v>
      </c>
      <c r="G692" s="113" t="s">
        <v>4587</v>
      </c>
      <c r="H692" s="534">
        <v>2000</v>
      </c>
      <c r="I692" s="534">
        <v>2000</v>
      </c>
    </row>
    <row r="693" spans="1:9" ht="108" x14ac:dyDescent="0.2">
      <c r="A693" s="522">
        <v>669</v>
      </c>
      <c r="B693" s="537" t="s">
        <v>3967</v>
      </c>
      <c r="C693" s="520" t="s">
        <v>4563</v>
      </c>
      <c r="D693" s="519" t="s">
        <v>4651</v>
      </c>
      <c r="E693" s="520" t="s">
        <v>4652</v>
      </c>
      <c r="F693" s="113" t="s">
        <v>4593</v>
      </c>
      <c r="G693" s="113" t="s">
        <v>4621</v>
      </c>
      <c r="H693" s="534">
        <v>34886</v>
      </c>
      <c r="I693" s="534">
        <v>34886</v>
      </c>
    </row>
    <row r="694" spans="1:9" ht="108" x14ac:dyDescent="0.2">
      <c r="A694" s="522">
        <v>670</v>
      </c>
      <c r="B694" s="537" t="s">
        <v>3967</v>
      </c>
      <c r="C694" s="520" t="s">
        <v>4563</v>
      </c>
      <c r="D694" s="519" t="s">
        <v>4653</v>
      </c>
      <c r="E694" s="520" t="s">
        <v>4654</v>
      </c>
      <c r="F694" s="113" t="s">
        <v>4593</v>
      </c>
      <c r="G694" s="113" t="s">
        <v>4621</v>
      </c>
      <c r="H694" s="534">
        <v>34890</v>
      </c>
      <c r="I694" s="534">
        <v>34890</v>
      </c>
    </row>
    <row r="695" spans="1:9" ht="144" x14ac:dyDescent="0.2">
      <c r="A695" s="522">
        <v>671</v>
      </c>
      <c r="B695" s="539" t="s">
        <v>4594</v>
      </c>
      <c r="C695" s="565" t="s">
        <v>4600</v>
      </c>
      <c r="D695" s="519" t="s">
        <v>4592</v>
      </c>
      <c r="E695" s="520" t="s">
        <v>4617</v>
      </c>
      <c r="F695" s="113" t="s">
        <v>4593</v>
      </c>
      <c r="G695" s="113" t="s">
        <v>4621</v>
      </c>
      <c r="H695" s="534">
        <v>1702</v>
      </c>
      <c r="I695" s="534">
        <v>1702</v>
      </c>
    </row>
    <row r="696" spans="1:9" ht="132" x14ac:dyDescent="0.2">
      <c r="A696" s="522">
        <v>672</v>
      </c>
      <c r="B696" s="539" t="s">
        <v>4674</v>
      </c>
      <c r="C696" s="572" t="s">
        <v>4675</v>
      </c>
      <c r="D696" s="519" t="s">
        <v>4676</v>
      </c>
      <c r="E696" s="520" t="s">
        <v>4673</v>
      </c>
      <c r="F696" s="113" t="s">
        <v>4593</v>
      </c>
      <c r="G696" s="113" t="s">
        <v>4615</v>
      </c>
      <c r="H696" s="534">
        <v>42000</v>
      </c>
      <c r="I696" s="534">
        <v>17000</v>
      </c>
    </row>
    <row r="697" spans="1:9" ht="84" x14ac:dyDescent="0.2">
      <c r="A697" s="522">
        <v>673</v>
      </c>
      <c r="B697" s="539" t="s">
        <v>4604</v>
      </c>
      <c r="C697" s="520" t="s">
        <v>4603</v>
      </c>
      <c r="D697" s="519" t="s">
        <v>4602</v>
      </c>
      <c r="E697" s="520" t="s">
        <v>4605</v>
      </c>
      <c r="F697" s="113" t="s">
        <v>4587</v>
      </c>
      <c r="G697" s="113" t="s">
        <v>4616</v>
      </c>
      <c r="H697" s="534">
        <v>36236</v>
      </c>
      <c r="I697" s="534">
        <v>27245</v>
      </c>
    </row>
    <row r="698" spans="1:9" ht="72" x14ac:dyDescent="0.2">
      <c r="A698" s="522">
        <v>674</v>
      </c>
      <c r="B698" s="539" t="s">
        <v>4636</v>
      </c>
      <c r="C698" s="520" t="s">
        <v>4633</v>
      </c>
      <c r="D698" s="519" t="s">
        <v>4634</v>
      </c>
      <c r="E698" s="520" t="s">
        <v>4637</v>
      </c>
      <c r="F698" s="113" t="s">
        <v>4587</v>
      </c>
      <c r="G698" s="113" t="s">
        <v>4635</v>
      </c>
      <c r="H698" s="534">
        <v>116302</v>
      </c>
      <c r="I698" s="534">
        <v>116302</v>
      </c>
    </row>
    <row r="699" spans="1:9" ht="96" x14ac:dyDescent="0.2">
      <c r="A699" s="522">
        <v>675</v>
      </c>
      <c r="B699" s="539" t="s">
        <v>4628</v>
      </c>
      <c r="C699" s="520" t="s">
        <v>4424</v>
      </c>
      <c r="D699" s="519" t="s">
        <v>4629</v>
      </c>
      <c r="E699" s="520" t="s">
        <v>4630</v>
      </c>
      <c r="F699" s="113" t="s">
        <v>4631</v>
      </c>
      <c r="G699" s="113" t="s">
        <v>4632</v>
      </c>
      <c r="H699" s="534">
        <v>107282</v>
      </c>
      <c r="I699" s="534">
        <v>94313</v>
      </c>
    </row>
    <row r="700" spans="1:9" ht="108" x14ac:dyDescent="0.2">
      <c r="A700" s="522">
        <v>676</v>
      </c>
      <c r="B700" s="539" t="s">
        <v>4710</v>
      </c>
      <c r="C700" s="520" t="s">
        <v>4703</v>
      </c>
      <c r="D700" s="519" t="s">
        <v>4702</v>
      </c>
      <c r="E700" s="520" t="s">
        <v>4704</v>
      </c>
      <c r="F700" s="113" t="s">
        <v>4631</v>
      </c>
      <c r="G700" s="113" t="s">
        <v>4590</v>
      </c>
      <c r="H700" s="534">
        <v>6750</v>
      </c>
      <c r="I700" s="534">
        <v>6750</v>
      </c>
    </row>
    <row r="701" spans="1:9" ht="96" x14ac:dyDescent="0.2">
      <c r="A701" s="522">
        <v>677</v>
      </c>
      <c r="B701" s="539" t="s">
        <v>4696</v>
      </c>
      <c r="C701" s="520" t="s">
        <v>4462</v>
      </c>
      <c r="D701" s="519" t="s">
        <v>4677</v>
      </c>
      <c r="E701" s="520" t="s">
        <v>4678</v>
      </c>
      <c r="F701" s="113" t="s">
        <v>4631</v>
      </c>
      <c r="G701" s="113" t="s">
        <v>4615</v>
      </c>
      <c r="H701" s="534">
        <v>38480</v>
      </c>
      <c r="I701" s="534">
        <v>6622</v>
      </c>
    </row>
    <row r="702" spans="1:9" ht="72" x14ac:dyDescent="0.2">
      <c r="A702" s="522">
        <v>678</v>
      </c>
      <c r="B702" s="539" t="s">
        <v>4705</v>
      </c>
      <c r="C702" s="520" t="s">
        <v>4415</v>
      </c>
      <c r="D702" s="519" t="s">
        <v>4706</v>
      </c>
      <c r="E702" s="520" t="s">
        <v>4707</v>
      </c>
      <c r="F702" s="113" t="s">
        <v>4590</v>
      </c>
      <c r="G702" s="113" t="s">
        <v>4708</v>
      </c>
      <c r="H702" s="534">
        <v>27066</v>
      </c>
      <c r="I702" s="534">
        <v>20356</v>
      </c>
    </row>
    <row r="703" spans="1:9" ht="144" x14ac:dyDescent="0.2">
      <c r="A703" s="522">
        <v>679</v>
      </c>
      <c r="B703" s="539" t="s">
        <v>4594</v>
      </c>
      <c r="C703" s="565" t="s">
        <v>4600</v>
      </c>
      <c r="D703" s="519" t="s">
        <v>4609</v>
      </c>
      <c r="E703" s="520" t="s">
        <v>4611</v>
      </c>
      <c r="F703" s="113" t="s">
        <v>4586</v>
      </c>
      <c r="G703" s="113" t="s">
        <v>4610</v>
      </c>
      <c r="H703" s="534">
        <v>1109</v>
      </c>
      <c r="I703" s="534">
        <v>1109</v>
      </c>
    </row>
    <row r="704" spans="1:9" ht="120" x14ac:dyDescent="0.2">
      <c r="A704" s="522">
        <v>680</v>
      </c>
      <c r="B704" s="537" t="s">
        <v>4441</v>
      </c>
      <c r="C704" s="520" t="s">
        <v>4681</v>
      </c>
      <c r="D704" s="519" t="s">
        <v>4679</v>
      </c>
      <c r="E704" s="520" t="s">
        <v>4680</v>
      </c>
      <c r="F704" s="113" t="s">
        <v>4614</v>
      </c>
      <c r="G704" s="113" t="s">
        <v>4615</v>
      </c>
      <c r="H704" s="534">
        <v>1905</v>
      </c>
      <c r="I704" s="534">
        <v>1905</v>
      </c>
    </row>
    <row r="705" spans="1:9" ht="93" customHeight="1" x14ac:dyDescent="0.2">
      <c r="A705" s="522">
        <v>681</v>
      </c>
      <c r="B705" s="539" t="s">
        <v>4711</v>
      </c>
      <c r="C705" s="572" t="s">
        <v>4612</v>
      </c>
      <c r="D705" s="519" t="s">
        <v>4613</v>
      </c>
      <c r="E705" s="520" t="s">
        <v>4712</v>
      </c>
      <c r="F705" s="113" t="s">
        <v>4614</v>
      </c>
      <c r="G705" s="113" t="s">
        <v>4615</v>
      </c>
      <c r="H705" s="534">
        <v>15203</v>
      </c>
      <c r="I705" s="534">
        <v>13976</v>
      </c>
    </row>
    <row r="706" spans="1:9" ht="60" x14ac:dyDescent="0.2">
      <c r="A706" s="522">
        <v>682</v>
      </c>
      <c r="B706" s="539" t="s">
        <v>4780</v>
      </c>
      <c r="C706" s="572" t="s">
        <v>4826</v>
      </c>
      <c r="D706" s="519" t="s">
        <v>4746</v>
      </c>
      <c r="E706" s="520" t="s">
        <v>4781</v>
      </c>
      <c r="F706" s="113" t="s">
        <v>4614</v>
      </c>
      <c r="G706" s="113" t="s">
        <v>4782</v>
      </c>
      <c r="H706" s="534">
        <v>1345607</v>
      </c>
      <c r="I706" s="534">
        <v>1243995</v>
      </c>
    </row>
    <row r="707" spans="1:9" ht="87.6" customHeight="1" x14ac:dyDescent="0.2">
      <c r="A707" s="522">
        <v>683</v>
      </c>
      <c r="B707" s="539" t="s">
        <v>4785</v>
      </c>
      <c r="C707" s="572" t="s">
        <v>4571</v>
      </c>
      <c r="D707" s="519" t="s">
        <v>4731</v>
      </c>
      <c r="E707" s="520" t="s">
        <v>4729</v>
      </c>
      <c r="F707" s="113" t="s">
        <v>4730</v>
      </c>
      <c r="G707" s="113" t="s">
        <v>4783</v>
      </c>
      <c r="H707" s="534">
        <v>28614</v>
      </c>
      <c r="I707" s="534">
        <v>28614</v>
      </c>
    </row>
    <row r="708" spans="1:9" ht="72" x14ac:dyDescent="0.2">
      <c r="A708" s="522">
        <v>684</v>
      </c>
      <c r="B708" s="539" t="s">
        <v>4786</v>
      </c>
      <c r="C708" s="572" t="s">
        <v>4784</v>
      </c>
      <c r="D708" s="519" t="s">
        <v>4747</v>
      </c>
      <c r="E708" s="520" t="s">
        <v>4748</v>
      </c>
      <c r="F708" s="113" t="s">
        <v>4632</v>
      </c>
      <c r="G708" s="113" t="s">
        <v>4819</v>
      </c>
      <c r="H708" s="534">
        <v>4027661</v>
      </c>
      <c r="I708" s="534">
        <v>1598303</v>
      </c>
    </row>
    <row r="709" spans="1:9" ht="90" customHeight="1" x14ac:dyDescent="0.2">
      <c r="A709" s="522">
        <v>685</v>
      </c>
      <c r="B709" s="539" t="s">
        <v>4823</v>
      </c>
      <c r="C709" s="520" t="s">
        <v>4820</v>
      </c>
      <c r="D709" s="519" t="s">
        <v>4718</v>
      </c>
      <c r="E709" s="520" t="s">
        <v>4717</v>
      </c>
      <c r="F709" s="113" t="s">
        <v>4621</v>
      </c>
      <c r="G709" s="113" t="s">
        <v>4616</v>
      </c>
      <c r="H709" s="534">
        <v>91862</v>
      </c>
      <c r="I709" s="534">
        <v>77151</v>
      </c>
    </row>
    <row r="710" spans="1:9" ht="108" x14ac:dyDescent="0.2">
      <c r="A710" s="522">
        <v>686</v>
      </c>
      <c r="B710" s="539" t="s">
        <v>4787</v>
      </c>
      <c r="C710" s="520" t="s">
        <v>4827</v>
      </c>
      <c r="D710" s="519" t="s">
        <v>4753</v>
      </c>
      <c r="E710" s="520" t="s">
        <v>4752</v>
      </c>
      <c r="F710" s="113" t="s">
        <v>4610</v>
      </c>
      <c r="G710" s="113" t="s">
        <v>4819</v>
      </c>
      <c r="H710" s="534">
        <v>1076025</v>
      </c>
      <c r="I710" s="534">
        <v>973790</v>
      </c>
    </row>
    <row r="711" spans="1:9" ht="132" x14ac:dyDescent="0.2">
      <c r="A711" s="522">
        <v>687</v>
      </c>
      <c r="B711" s="539" t="s">
        <v>4788</v>
      </c>
      <c r="C711" s="520" t="s">
        <v>4830</v>
      </c>
      <c r="D711" s="519" t="s">
        <v>4755</v>
      </c>
      <c r="E711" s="520" t="s">
        <v>4754</v>
      </c>
      <c r="F711" s="113" t="s">
        <v>4740</v>
      </c>
      <c r="G711" s="113" t="s">
        <v>4749</v>
      </c>
      <c r="H711" s="534">
        <v>26763</v>
      </c>
      <c r="I711" s="534">
        <v>26763</v>
      </c>
    </row>
    <row r="712" spans="1:9" ht="82.5" customHeight="1" x14ac:dyDescent="0.2">
      <c r="A712" s="522">
        <v>688</v>
      </c>
      <c r="B712" s="672" t="s">
        <v>4741</v>
      </c>
      <c r="C712" s="520" t="s">
        <v>4789</v>
      </c>
      <c r="D712" s="519" t="s">
        <v>4742</v>
      </c>
      <c r="E712" s="520" t="s">
        <v>4739</v>
      </c>
      <c r="F712" s="113" t="s">
        <v>4740</v>
      </c>
      <c r="G712" s="113" t="s">
        <v>4837</v>
      </c>
      <c r="H712" s="534">
        <v>400781</v>
      </c>
      <c r="I712" s="534">
        <v>250026</v>
      </c>
    </row>
    <row r="713" spans="1:9" ht="108" x14ac:dyDescent="0.2">
      <c r="A713" s="522">
        <v>689</v>
      </c>
      <c r="B713" s="673" t="s">
        <v>4710</v>
      </c>
      <c r="C713" s="520" t="s">
        <v>4790</v>
      </c>
      <c r="D713" s="519" t="s">
        <v>4774</v>
      </c>
      <c r="E713" s="520" t="s">
        <v>4775</v>
      </c>
      <c r="F713" s="113" t="s">
        <v>4740</v>
      </c>
      <c r="G713" s="113" t="s">
        <v>4638</v>
      </c>
      <c r="H713" s="534">
        <v>3771</v>
      </c>
      <c r="I713" s="534">
        <v>3771</v>
      </c>
    </row>
    <row r="714" spans="1:9" ht="60" x14ac:dyDescent="0.2">
      <c r="A714" s="522">
        <v>690</v>
      </c>
      <c r="B714" s="672" t="s">
        <v>4794</v>
      </c>
      <c r="C714" s="520" t="s">
        <v>4792</v>
      </c>
      <c r="D714" s="519" t="s">
        <v>4763</v>
      </c>
      <c r="E714" s="520" t="s">
        <v>4791</v>
      </c>
      <c r="F714" s="113" t="s">
        <v>4708</v>
      </c>
      <c r="G714" s="113" t="s">
        <v>4782</v>
      </c>
      <c r="H714" s="534">
        <v>11620</v>
      </c>
      <c r="I714" s="534">
        <v>10009</v>
      </c>
    </row>
    <row r="715" spans="1:9" ht="132.6" customHeight="1" x14ac:dyDescent="0.2">
      <c r="A715" s="522">
        <v>691</v>
      </c>
      <c r="B715" s="672" t="s">
        <v>4722</v>
      </c>
      <c r="C715" s="66" t="s">
        <v>4831</v>
      </c>
      <c r="D715" s="519" t="s">
        <v>4723</v>
      </c>
      <c r="E715" s="520" t="s">
        <v>4793</v>
      </c>
      <c r="F715" s="113" t="s">
        <v>4708</v>
      </c>
      <c r="G715" s="113" t="s">
        <v>4837</v>
      </c>
      <c r="H715" s="534">
        <v>9691</v>
      </c>
      <c r="I715" s="534">
        <v>6553</v>
      </c>
    </row>
    <row r="716" spans="1:9" ht="96" x14ac:dyDescent="0.2">
      <c r="A716" s="522">
        <v>692</v>
      </c>
      <c r="B716" s="539" t="s">
        <v>4795</v>
      </c>
      <c r="C716" s="520" t="s">
        <v>4796</v>
      </c>
      <c r="D716" s="519" t="s">
        <v>4766</v>
      </c>
      <c r="E716" s="520" t="s">
        <v>4767</v>
      </c>
      <c r="F716" s="113" t="s">
        <v>4734</v>
      </c>
      <c r="G716" s="113" t="s">
        <v>4734</v>
      </c>
      <c r="H716" s="534">
        <v>1759</v>
      </c>
      <c r="I716" s="534">
        <v>1759</v>
      </c>
    </row>
    <row r="717" spans="1:9" ht="84" x14ac:dyDescent="0.2">
      <c r="A717" s="522">
        <v>693</v>
      </c>
      <c r="B717" s="672" t="s">
        <v>4732</v>
      </c>
      <c r="C717" s="520" t="s">
        <v>4799</v>
      </c>
      <c r="D717" s="563" t="s">
        <v>4797</v>
      </c>
      <c r="E717" s="520" t="s">
        <v>4733</v>
      </c>
      <c r="F717" s="113" t="s">
        <v>4734</v>
      </c>
      <c r="G717" s="113" t="s">
        <v>4819</v>
      </c>
      <c r="H717" s="534">
        <v>1618841</v>
      </c>
      <c r="I717" s="534">
        <v>25494</v>
      </c>
    </row>
    <row r="718" spans="1:9" ht="72" x14ac:dyDescent="0.2">
      <c r="A718" s="522">
        <v>694</v>
      </c>
      <c r="B718" s="672" t="s">
        <v>4735</v>
      </c>
      <c r="C718" s="520" t="s">
        <v>4798</v>
      </c>
      <c r="D718" s="563" t="s">
        <v>4737</v>
      </c>
      <c r="E718" s="520" t="s">
        <v>4736</v>
      </c>
      <c r="F718" s="113" t="s">
        <v>4738</v>
      </c>
      <c r="G718" s="113" t="s">
        <v>4819</v>
      </c>
      <c r="H718" s="534">
        <v>1846360</v>
      </c>
      <c r="I718" s="534">
        <v>1798360</v>
      </c>
    </row>
    <row r="719" spans="1:9" ht="60" x14ac:dyDescent="0.2">
      <c r="A719" s="522">
        <v>695</v>
      </c>
      <c r="B719" s="539" t="s">
        <v>4802</v>
      </c>
      <c r="C719" s="520" t="s">
        <v>4801</v>
      </c>
      <c r="D719" s="563" t="s">
        <v>4756</v>
      </c>
      <c r="E719" s="520" t="s">
        <v>4800</v>
      </c>
      <c r="F719" s="113" t="s">
        <v>4738</v>
      </c>
      <c r="G719" s="113" t="s">
        <v>4757</v>
      </c>
      <c r="H719" s="534">
        <v>16667</v>
      </c>
      <c r="I719" s="534">
        <v>16667</v>
      </c>
    </row>
    <row r="720" spans="1:9" ht="52.5" customHeight="1" x14ac:dyDescent="0.2">
      <c r="A720" s="522">
        <v>696</v>
      </c>
      <c r="B720" s="672" t="s">
        <v>4803</v>
      </c>
      <c r="C720" s="520" t="s">
        <v>4804</v>
      </c>
      <c r="D720" s="563" t="s">
        <v>4777</v>
      </c>
      <c r="E720" s="520" t="s">
        <v>4776</v>
      </c>
      <c r="F720" s="113" t="s">
        <v>4738</v>
      </c>
      <c r="G720" s="113" t="s">
        <v>4760</v>
      </c>
      <c r="H720" s="534">
        <v>5358</v>
      </c>
      <c r="I720" s="534">
        <v>5358</v>
      </c>
    </row>
    <row r="721" spans="1:9" ht="60.6" customHeight="1" x14ac:dyDescent="0.2">
      <c r="A721" s="522">
        <v>697</v>
      </c>
      <c r="B721" s="539" t="s">
        <v>4806</v>
      </c>
      <c r="C721" s="520" t="s">
        <v>4805</v>
      </c>
      <c r="D721" s="563" t="s">
        <v>4779</v>
      </c>
      <c r="E721" s="520" t="s">
        <v>4778</v>
      </c>
      <c r="F721" s="113" t="s">
        <v>4738</v>
      </c>
      <c r="G721" s="113" t="s">
        <v>4738</v>
      </c>
      <c r="H721" s="534">
        <v>3333</v>
      </c>
      <c r="I721" s="534">
        <v>3333</v>
      </c>
    </row>
    <row r="722" spans="1:9" ht="72" x14ac:dyDescent="0.2">
      <c r="A722" s="522">
        <v>698</v>
      </c>
      <c r="B722" s="539" t="s">
        <v>3897</v>
      </c>
      <c r="C722" s="520" t="s">
        <v>4825</v>
      </c>
      <c r="D722" s="563" t="s">
        <v>4762</v>
      </c>
      <c r="E722" s="520" t="s">
        <v>4761</v>
      </c>
      <c r="F722" s="113" t="s">
        <v>4760</v>
      </c>
      <c r="G722" s="113" t="s">
        <v>4819</v>
      </c>
      <c r="H722" s="534">
        <v>45333</v>
      </c>
      <c r="I722" s="534">
        <v>45333</v>
      </c>
    </row>
    <row r="723" spans="1:9" ht="102" customHeight="1" x14ac:dyDescent="0.2">
      <c r="A723" s="522">
        <v>699</v>
      </c>
      <c r="B723" s="539" t="s">
        <v>4807</v>
      </c>
      <c r="C723" s="520" t="s">
        <v>4829</v>
      </c>
      <c r="D723" s="519" t="s">
        <v>4726</v>
      </c>
      <c r="E723" s="520" t="s">
        <v>4724</v>
      </c>
      <c r="F723" s="113" t="s">
        <v>4725</v>
      </c>
      <c r="G723" s="113" t="s">
        <v>4783</v>
      </c>
      <c r="H723" s="534">
        <v>5224</v>
      </c>
      <c r="I723" s="534">
        <v>3222</v>
      </c>
    </row>
    <row r="724" spans="1:9" ht="97.5" customHeight="1" x14ac:dyDescent="0.2">
      <c r="A724" s="522">
        <v>700</v>
      </c>
      <c r="B724" s="539" t="s">
        <v>4838</v>
      </c>
      <c r="C724" s="520" t="s">
        <v>4828</v>
      </c>
      <c r="D724" s="519" t="s">
        <v>4727</v>
      </c>
      <c r="E724" s="520" t="s">
        <v>4728</v>
      </c>
      <c r="F724" s="113" t="s">
        <v>4725</v>
      </c>
      <c r="G724" s="113" t="s">
        <v>4783</v>
      </c>
      <c r="H724" s="534">
        <v>1900</v>
      </c>
      <c r="I724" s="534">
        <v>1040</v>
      </c>
    </row>
    <row r="725" spans="1:9" ht="132.75" customHeight="1" x14ac:dyDescent="0.2">
      <c r="A725" s="522">
        <v>701</v>
      </c>
      <c r="B725" s="539" t="s">
        <v>4570</v>
      </c>
      <c r="C725" s="520" t="s">
        <v>4808</v>
      </c>
      <c r="D725" s="519" t="s">
        <v>4765</v>
      </c>
      <c r="E725" s="520" t="s">
        <v>4764</v>
      </c>
      <c r="F725" s="113" t="s">
        <v>4725</v>
      </c>
      <c r="G725" s="113" t="s">
        <v>4725</v>
      </c>
      <c r="H725" s="534">
        <v>566</v>
      </c>
      <c r="I725" s="534">
        <v>566</v>
      </c>
    </row>
    <row r="726" spans="1:9" ht="60" x14ac:dyDescent="0.2">
      <c r="A726" s="522">
        <v>702</v>
      </c>
      <c r="B726" s="674" t="s">
        <v>4810</v>
      </c>
      <c r="C726" s="575" t="s">
        <v>4809</v>
      </c>
      <c r="D726" s="552" t="s">
        <v>4773</v>
      </c>
      <c r="E726" s="575" t="s">
        <v>4772</v>
      </c>
      <c r="F726" s="553" t="s">
        <v>4725</v>
      </c>
      <c r="G726" s="553" t="s">
        <v>4721</v>
      </c>
      <c r="H726" s="554">
        <v>6152</v>
      </c>
      <c r="I726" s="554">
        <v>6152</v>
      </c>
    </row>
    <row r="727" spans="1:9" ht="105.75" customHeight="1" x14ac:dyDescent="0.2">
      <c r="A727" s="522">
        <v>703</v>
      </c>
      <c r="B727" s="539" t="s">
        <v>4812</v>
      </c>
      <c r="C727" s="520" t="s">
        <v>4811</v>
      </c>
      <c r="D727" s="519" t="s">
        <v>4769</v>
      </c>
      <c r="E727" s="520" t="s">
        <v>4768</v>
      </c>
      <c r="F727" s="113" t="s">
        <v>4721</v>
      </c>
      <c r="G727" s="113" t="s">
        <v>4743</v>
      </c>
      <c r="H727" s="534">
        <v>6754</v>
      </c>
      <c r="I727" s="534">
        <v>6754</v>
      </c>
    </row>
    <row r="728" spans="1:9" ht="181.5" customHeight="1" x14ac:dyDescent="0.2">
      <c r="A728" s="522">
        <v>704</v>
      </c>
      <c r="B728" s="539" t="s">
        <v>4821</v>
      </c>
      <c r="C728" s="520" t="s">
        <v>4822</v>
      </c>
      <c r="D728" s="519" t="s">
        <v>4720</v>
      </c>
      <c r="E728" s="520" t="s">
        <v>4719</v>
      </c>
      <c r="F728" s="113" t="s">
        <v>4721</v>
      </c>
      <c r="G728" s="113" t="s">
        <v>4819</v>
      </c>
      <c r="H728" s="534">
        <v>117557</v>
      </c>
      <c r="I728" s="534">
        <v>87985</v>
      </c>
    </row>
    <row r="729" spans="1:9" ht="107.25" customHeight="1" x14ac:dyDescent="0.2">
      <c r="A729" s="522">
        <v>705</v>
      </c>
      <c r="B729" s="539" t="s">
        <v>4813</v>
      </c>
      <c r="C729" s="520" t="s">
        <v>4816</v>
      </c>
      <c r="D729" s="519" t="s">
        <v>4771</v>
      </c>
      <c r="E729" s="520" t="s">
        <v>4770</v>
      </c>
      <c r="F729" s="113" t="s">
        <v>4721</v>
      </c>
      <c r="G729" s="113" t="s">
        <v>4783</v>
      </c>
      <c r="H729" s="534">
        <v>283</v>
      </c>
      <c r="I729" s="534">
        <v>283</v>
      </c>
    </row>
    <row r="730" spans="1:9" ht="109.5" customHeight="1" x14ac:dyDescent="0.2">
      <c r="A730" s="522">
        <v>706</v>
      </c>
      <c r="B730" s="539" t="s">
        <v>4814</v>
      </c>
      <c r="C730" s="520" t="s">
        <v>4824</v>
      </c>
      <c r="D730" s="523" t="s">
        <v>4745</v>
      </c>
      <c r="E730" s="520" t="s">
        <v>4744</v>
      </c>
      <c r="F730" s="113" t="s">
        <v>4743</v>
      </c>
      <c r="G730" s="113" t="s">
        <v>4819</v>
      </c>
      <c r="H730" s="534">
        <v>269888</v>
      </c>
      <c r="I730" s="534">
        <v>146571</v>
      </c>
    </row>
    <row r="731" spans="1:9" ht="105" customHeight="1" x14ac:dyDescent="0.2">
      <c r="A731" s="522">
        <v>707</v>
      </c>
      <c r="B731" s="539" t="s">
        <v>4815</v>
      </c>
      <c r="C731" s="520" t="s">
        <v>4784</v>
      </c>
      <c r="D731" s="519" t="s">
        <v>4751</v>
      </c>
      <c r="E731" s="520" t="s">
        <v>4750</v>
      </c>
      <c r="F731" s="113" t="s">
        <v>4749</v>
      </c>
      <c r="G731" s="113" t="s">
        <v>4783</v>
      </c>
      <c r="H731" s="534">
        <v>20004</v>
      </c>
      <c r="I731" s="534">
        <v>9324</v>
      </c>
    </row>
    <row r="732" spans="1:9" ht="75.95" customHeight="1" x14ac:dyDescent="0.2">
      <c r="A732" s="522">
        <v>708</v>
      </c>
      <c r="B732" s="539" t="s">
        <v>4817</v>
      </c>
      <c r="C732" s="520" t="s">
        <v>4818</v>
      </c>
      <c r="D732" s="523" t="s">
        <v>4758</v>
      </c>
      <c r="E732" s="520" t="s">
        <v>4759</v>
      </c>
      <c r="F732" s="113" t="s">
        <v>4757</v>
      </c>
      <c r="G732" s="113" t="s">
        <v>4783</v>
      </c>
      <c r="H732" s="534">
        <v>2792</v>
      </c>
      <c r="I732" s="534">
        <v>2792</v>
      </c>
    </row>
    <row r="733" spans="1:9" ht="108" x14ac:dyDescent="0.2">
      <c r="A733" s="522">
        <v>709</v>
      </c>
      <c r="B733" s="538" t="s">
        <v>4832</v>
      </c>
      <c r="C733" s="576" t="s">
        <v>4833</v>
      </c>
      <c r="D733" s="577" t="s">
        <v>4834</v>
      </c>
      <c r="E733" s="576" t="s">
        <v>4835</v>
      </c>
      <c r="F733" s="578" t="s">
        <v>4783</v>
      </c>
      <c r="G733" s="579" t="s">
        <v>4783</v>
      </c>
      <c r="H733" s="580">
        <v>2158</v>
      </c>
      <c r="I733" s="581">
        <v>200</v>
      </c>
    </row>
    <row r="734" spans="1:9" x14ac:dyDescent="0.2">
      <c r="F734" s="574"/>
      <c r="G734" s="574"/>
    </row>
    <row r="735" spans="1:9" x14ac:dyDescent="0.2">
      <c r="F735" s="574"/>
      <c r="G735" s="574"/>
    </row>
    <row r="736" spans="1:9" x14ac:dyDescent="0.2">
      <c r="F736" s="574"/>
      <c r="G736" s="574"/>
    </row>
    <row r="737" spans="6:7" x14ac:dyDescent="0.2">
      <c r="F737" s="574"/>
      <c r="G737" s="574"/>
    </row>
    <row r="738" spans="6:7" x14ac:dyDescent="0.2">
      <c r="F738" s="574"/>
      <c r="G738" s="574"/>
    </row>
    <row r="739" spans="6:7" x14ac:dyDescent="0.2">
      <c r="F739" s="574"/>
      <c r="G739" s="574"/>
    </row>
    <row r="740" spans="6:7" x14ac:dyDescent="0.2">
      <c r="F740" s="574"/>
      <c r="G740" s="574"/>
    </row>
    <row r="741" spans="6:7" x14ac:dyDescent="0.2">
      <c r="F741" s="574"/>
      <c r="G741" s="574"/>
    </row>
    <row r="742" spans="6:7" x14ac:dyDescent="0.2">
      <c r="F742" s="574"/>
      <c r="G742" s="574"/>
    </row>
    <row r="743" spans="6:7" x14ac:dyDescent="0.2">
      <c r="F743" s="574"/>
      <c r="G743" s="574"/>
    </row>
    <row r="744" spans="6:7" x14ac:dyDescent="0.2">
      <c r="F744" s="574"/>
      <c r="G744" s="574"/>
    </row>
    <row r="745" spans="6:7" x14ac:dyDescent="0.2">
      <c r="F745" s="574"/>
      <c r="G745" s="574"/>
    </row>
    <row r="746" spans="6:7" x14ac:dyDescent="0.2">
      <c r="F746" s="574"/>
      <c r="G746" s="574"/>
    </row>
    <row r="747" spans="6:7" x14ac:dyDescent="0.2">
      <c r="F747" s="574"/>
      <c r="G747" s="574"/>
    </row>
    <row r="748" spans="6:7" x14ac:dyDescent="0.2">
      <c r="F748" s="574"/>
      <c r="G748" s="574"/>
    </row>
    <row r="749" spans="6:7" x14ac:dyDescent="0.2">
      <c r="F749" s="574"/>
      <c r="G749" s="574"/>
    </row>
    <row r="750" spans="6:7" x14ac:dyDescent="0.2">
      <c r="F750" s="574"/>
      <c r="G750" s="574"/>
    </row>
    <row r="751" spans="6:7" x14ac:dyDescent="0.2">
      <c r="F751" s="574"/>
      <c r="G751" s="574"/>
    </row>
    <row r="752" spans="6:7" x14ac:dyDescent="0.2">
      <c r="F752" s="574"/>
      <c r="G752" s="574"/>
    </row>
    <row r="753" spans="6:7" x14ac:dyDescent="0.2">
      <c r="F753" s="574"/>
      <c r="G753" s="574"/>
    </row>
    <row r="754" spans="6:7" x14ac:dyDescent="0.2">
      <c r="F754" s="574"/>
      <c r="G754" s="574"/>
    </row>
    <row r="755" spans="6:7" x14ac:dyDescent="0.2">
      <c r="F755" s="573"/>
      <c r="G755" s="573"/>
    </row>
    <row r="756" spans="6:7" x14ac:dyDescent="0.2">
      <c r="F756" s="573"/>
      <c r="G756" s="573"/>
    </row>
    <row r="757" spans="6:7" x14ac:dyDescent="0.2">
      <c r="F757" s="573"/>
      <c r="G757" s="573"/>
    </row>
    <row r="758" spans="6:7" x14ac:dyDescent="0.2">
      <c r="F758" s="573"/>
      <c r="G758" s="573"/>
    </row>
    <row r="759" spans="6:7" x14ac:dyDescent="0.2">
      <c r="F759" s="573"/>
      <c r="G759" s="573"/>
    </row>
    <row r="760" spans="6:7" x14ac:dyDescent="0.2">
      <c r="F760" s="573"/>
      <c r="G760" s="573"/>
    </row>
    <row r="761" spans="6:7" x14ac:dyDescent="0.2">
      <c r="F761" s="573"/>
      <c r="G761" s="573"/>
    </row>
    <row r="762" spans="6:7" x14ac:dyDescent="0.2">
      <c r="F762" s="573"/>
      <c r="G762" s="573"/>
    </row>
  </sheetData>
  <autoFilter ref="A4:I705" xr:uid="{00000000-0001-0000-0500-000000000000}">
    <filterColumn colId="5" showButton="0"/>
    <filterColumn colId="7" showButton="0"/>
  </autoFilter>
  <mergeCells count="8">
    <mergeCell ref="C232:C249"/>
    <mergeCell ref="F4:G4"/>
    <mergeCell ref="H4:I4"/>
    <mergeCell ref="A4:A5"/>
    <mergeCell ref="D4:D5"/>
    <mergeCell ref="E4:E5"/>
    <mergeCell ref="B4:B5"/>
    <mergeCell ref="C4:C5"/>
  </mergeCells>
  <pageMargins left="0.11811023622047245" right="0.11811023622047245" top="0.27559055118110237" bottom="0.27559055118110237" header="0.31496062992125984" footer="0.11811023622047245"/>
  <pageSetup paperSize="9" scale="85" fitToHeight="207" orientation="landscape" r:id="rId1"/>
  <headerFooter>
    <oddFooter>&amp;R&amp;P</oddFooter>
  </headerFooter>
  <rowBreaks count="3" manualBreakCount="3">
    <brk id="193" max="9" man="1"/>
    <brk id="285" max="9" man="1"/>
    <brk id="298"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14</vt:i4>
      </vt:variant>
    </vt:vector>
  </HeadingPairs>
  <TitlesOfParts>
    <vt:vector size="20" baseType="lpstr">
      <vt:lpstr>старый вар</vt:lpstr>
      <vt:lpstr>новый вар-т</vt:lpstr>
      <vt:lpstr>2011-2015</vt:lpstr>
      <vt:lpstr>2011-2018</vt:lpstr>
      <vt:lpstr>2011-2019</vt:lpstr>
      <vt:lpstr>2008-2025 по годам</vt:lpstr>
      <vt:lpstr>'2011-2018'!building</vt:lpstr>
      <vt:lpstr>'2011-2019'!building</vt:lpstr>
      <vt:lpstr>'2011-2018'!start</vt:lpstr>
      <vt:lpstr>'2011-2019'!start</vt:lpstr>
      <vt:lpstr>'2008-2025 по годам'!Заголовки_для_печати</vt:lpstr>
      <vt:lpstr>'2011-2015'!Заголовки_для_печати</vt:lpstr>
      <vt:lpstr>'2011-2018'!Заголовки_для_печати</vt:lpstr>
      <vt:lpstr>'2011-2019'!Заголовки_для_печати</vt:lpstr>
      <vt:lpstr>'новый вар-т'!Заголовки_для_печати</vt:lpstr>
      <vt:lpstr>'2008-2025 по годам'!Область_печати</vt:lpstr>
      <vt:lpstr>'2011-2015'!Область_печати</vt:lpstr>
      <vt:lpstr>'2011-2018'!Область_печати</vt:lpstr>
      <vt:lpstr>'2011-2019'!Область_печати</vt:lpstr>
      <vt:lpstr>'новый вар-т'!Область_печати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Алена С. Пермякова</dc:creator>
  <cp:lastModifiedBy>Елена В. Петрова</cp:lastModifiedBy>
  <cp:lastPrinted>2024-08-15T08:50:09Z</cp:lastPrinted>
  <dcterms:created xsi:type="dcterms:W3CDTF">2016-06-27T08:32:23Z</dcterms:created>
  <dcterms:modified xsi:type="dcterms:W3CDTF">2026-03-18T03:17:59Z</dcterms:modified>
</cp:coreProperties>
</file>