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Сайт\ОБЪЕКТЫ\ОПЫТ\"/>
    </mc:Choice>
  </mc:AlternateContent>
  <xr:revisionPtr revIDLastSave="0" documentId="13_ncr:1_{0A676E10-6DD5-40D3-98C6-16EA1F84A53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старый вар" sheetId="2" state="hidden" r:id="rId1"/>
    <sheet name="новый вар-т" sheetId="1" state="hidden" r:id="rId2"/>
    <sheet name="2009-2025" sheetId="4" r:id="rId3"/>
  </sheets>
  <definedNames>
    <definedName name="building" localSheetId="2">'2009-2025'!#REF!</definedName>
    <definedName name="start" localSheetId="2">'2009-2025'!#REF!</definedName>
    <definedName name="_xlnm.Print_Titles" localSheetId="2">'2009-2025'!$4:$6</definedName>
    <definedName name="_xlnm.Print_Titles" localSheetId="1">'новый вар-т'!$6:$8</definedName>
    <definedName name="_xlnm.Print_Area" localSheetId="2">'2009-2025'!$B$1:$K$29</definedName>
    <definedName name="_xlnm.Print_Area" localSheetId="1">'новый вар-т'!$A$1:$I$224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4" l="1"/>
  <c r="J8" i="4" s="1"/>
  <c r="I28" i="4" l="1"/>
  <c r="J28" i="4" s="1"/>
  <c r="I26" i="4"/>
  <c r="J26" i="4" s="1"/>
  <c r="I15" i="4" l="1"/>
  <c r="J15" i="4" s="1"/>
  <c r="I13" i="4"/>
  <c r="J13" i="4" s="1"/>
  <c r="I10" i="4"/>
  <c r="I12" i="4" l="1"/>
  <c r="J12" i="4" s="1"/>
  <c r="I18" i="4" l="1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5" i="4" l="1"/>
  <c r="I27" i="4" l="1"/>
  <c r="J27" i="4" s="1"/>
  <c r="J25" i="4"/>
  <c r="J10" i="4" l="1"/>
  <c r="I16" i="4"/>
  <c r="J16" i="4" s="1"/>
  <c r="I11" i="4"/>
  <c r="J11" i="4" s="1"/>
  <c r="H118" i="1" l="1"/>
  <c r="I118" i="1" s="1"/>
  <c r="F221" i="2" l="1"/>
  <c r="G221" i="2" s="1"/>
  <c r="F220" i="2"/>
  <c r="G220" i="2" s="1"/>
  <c r="F219" i="2"/>
  <c r="G219" i="2" s="1"/>
  <c r="F218" i="2"/>
  <c r="G218" i="2" s="1"/>
  <c r="F217" i="2"/>
  <c r="G217" i="2" s="1"/>
  <c r="F216" i="2"/>
  <c r="G216" i="2" s="1"/>
  <c r="F215" i="2"/>
  <c r="G215" i="2" s="1"/>
  <c r="F214" i="2"/>
  <c r="G214" i="2" s="1"/>
  <c r="F213" i="2"/>
  <c r="G213" i="2" s="1"/>
  <c r="F212" i="2"/>
  <c r="G212" i="2" s="1"/>
  <c r="F211" i="2"/>
  <c r="G211" i="2" s="1"/>
  <c r="F210" i="2"/>
  <c r="G210" i="2" s="1"/>
  <c r="F209" i="2"/>
  <c r="G209" i="2" s="1"/>
  <c r="F208" i="2"/>
  <c r="G208" i="2" s="1"/>
  <c r="F207" i="2"/>
  <c r="G207" i="2" s="1"/>
  <c r="F206" i="2"/>
  <c r="G206" i="2" s="1"/>
  <c r="F205" i="2"/>
  <c r="G205" i="2" s="1"/>
  <c r="F204" i="2"/>
  <c r="G204" i="2" s="1"/>
  <c r="F203" i="2"/>
  <c r="G203" i="2" s="1"/>
  <c r="F202" i="2"/>
  <c r="G202" i="2" s="1"/>
  <c r="F201" i="2"/>
  <c r="G201" i="2" s="1"/>
  <c r="F200" i="2"/>
  <c r="G200" i="2" s="1"/>
  <c r="F199" i="2"/>
  <c r="G199" i="2" s="1"/>
  <c r="F198" i="2"/>
  <c r="G198" i="2" s="1"/>
  <c r="F197" i="2"/>
  <c r="G197" i="2" s="1"/>
  <c r="F196" i="2"/>
  <c r="G196" i="2" s="1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5" i="2"/>
  <c r="G135" i="2" s="1"/>
  <c r="F134" i="2"/>
  <c r="G134" i="2" s="1"/>
  <c r="F133" i="2"/>
  <c r="G133" i="2" s="1"/>
  <c r="F132" i="2"/>
  <c r="G132" i="2" s="1"/>
  <c r="F131" i="2"/>
  <c r="G131" i="2" s="1"/>
  <c r="F129" i="2"/>
  <c r="G129" i="2" s="1"/>
  <c r="F128" i="2"/>
  <c r="G128" i="2" s="1"/>
  <c r="F127" i="2"/>
  <c r="G127" i="2" s="1"/>
  <c r="F126" i="2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2" i="2"/>
  <c r="G82" i="2" s="1"/>
  <c r="F81" i="2"/>
  <c r="G81" i="2" s="1"/>
  <c r="F80" i="2"/>
  <c r="G80" i="2" s="1"/>
  <c r="F79" i="2"/>
  <c r="G79" i="2" s="1"/>
  <c r="F78" i="2"/>
  <c r="G78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1" i="2"/>
  <c r="G61" i="2" s="1"/>
  <c r="F60" i="2"/>
  <c r="G60" i="2" s="1"/>
  <c r="F59" i="2"/>
  <c r="G59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G10" i="2"/>
  <c r="H154" i="1" l="1"/>
  <c r="I154" i="1" s="1"/>
  <c r="H68" i="1"/>
  <c r="H67" i="1"/>
  <c r="H65" i="1"/>
  <c r="H63" i="1"/>
  <c r="H44" i="1"/>
  <c r="I44" i="1" s="1"/>
  <c r="H160" i="1"/>
  <c r="I160" i="1" s="1"/>
  <c r="H159" i="1"/>
  <c r="I159" i="1" s="1"/>
  <c r="H220" i="1"/>
  <c r="H211" i="1"/>
  <c r="I211" i="1" s="1"/>
  <c r="H155" i="1"/>
  <c r="I155" i="1" s="1"/>
  <c r="H169" i="1" l="1"/>
  <c r="I169" i="1" s="1"/>
  <c r="H210" i="1"/>
  <c r="I210" i="1" s="1"/>
  <c r="H143" i="1"/>
  <c r="I143" i="1" s="1"/>
  <c r="H219" i="1"/>
  <c r="H218" i="1"/>
  <c r="H217" i="1"/>
  <c r="H216" i="1"/>
  <c r="H215" i="1"/>
  <c r="H212" i="1" l="1"/>
  <c r="I212" i="1" s="1"/>
  <c r="H168" i="1" l="1"/>
  <c r="H179" i="1"/>
  <c r="I179" i="1" s="1"/>
  <c r="H178" i="1"/>
  <c r="I178" i="1" s="1"/>
  <c r="H177" i="1"/>
  <c r="I177" i="1" s="1"/>
  <c r="H176" i="1"/>
  <c r="I176" i="1" s="1"/>
  <c r="H175" i="1" l="1"/>
  <c r="H174" i="1"/>
  <c r="H166" i="1"/>
  <c r="I166" i="1" s="1"/>
  <c r="H165" i="1"/>
  <c r="I165" i="1" s="1"/>
  <c r="H164" i="1"/>
  <c r="I164" i="1" s="1"/>
  <c r="H163" i="1"/>
  <c r="H162" i="1" l="1"/>
  <c r="I162" i="1" s="1"/>
  <c r="H142" i="1"/>
  <c r="I142" i="1" s="1"/>
  <c r="H161" i="1"/>
  <c r="H152" i="1"/>
  <c r="I152" i="1" s="1"/>
  <c r="H153" i="1"/>
  <c r="H173" i="1"/>
  <c r="H172" i="1" l="1"/>
  <c r="I172" i="1" s="1"/>
  <c r="H171" i="1" l="1"/>
  <c r="I171" i="1" s="1"/>
  <c r="I175" i="1"/>
  <c r="I174" i="1"/>
  <c r="I173" i="1"/>
  <c r="H167" i="1" l="1"/>
  <c r="I167" i="1" s="1"/>
  <c r="H156" i="1"/>
  <c r="I156" i="1" s="1"/>
  <c r="H157" i="1"/>
  <c r="I157" i="1" s="1"/>
  <c r="I153" i="1" l="1"/>
  <c r="H149" i="1"/>
  <c r="H214" i="1"/>
  <c r="I214" i="1" s="1"/>
  <c r="I215" i="1"/>
  <c r="I216" i="1"/>
  <c r="I217" i="1"/>
  <c r="I218" i="1"/>
  <c r="I219" i="1"/>
  <c r="I220" i="1"/>
  <c r="H150" i="1"/>
  <c r="I150" i="1" s="1"/>
  <c r="H213" i="1"/>
  <c r="I168" i="1"/>
  <c r="I163" i="1"/>
  <c r="I161" i="1"/>
  <c r="I149" i="1"/>
  <c r="H73" i="1"/>
  <c r="I73" i="1" s="1"/>
  <c r="H209" i="1" l="1"/>
  <c r="H208" i="1"/>
  <c r="H207" i="1"/>
  <c r="H206" i="1"/>
  <c r="H205" i="1" l="1"/>
  <c r="I205" i="1" s="1"/>
  <c r="H204" i="1"/>
  <c r="H203" i="1"/>
  <c r="I203" i="1" s="1"/>
  <c r="I204" i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H196" i="1"/>
  <c r="I196" i="1" s="1"/>
  <c r="I206" i="1"/>
  <c r="I207" i="1"/>
  <c r="I208" i="1"/>
  <c r="I209" i="1"/>
  <c r="I213" i="1"/>
  <c r="H195" i="1" l="1"/>
  <c r="H192" i="1"/>
  <c r="I197" i="1"/>
  <c r="H194" i="1"/>
  <c r="H193" i="1"/>
  <c r="I193" i="1" s="1"/>
  <c r="H191" i="1"/>
  <c r="I191" i="1" s="1"/>
  <c r="H190" i="1"/>
  <c r="H189" i="1"/>
  <c r="I189" i="1" s="1"/>
  <c r="H188" i="1"/>
  <c r="H187" i="1"/>
  <c r="H186" i="1"/>
  <c r="I186" i="1" s="1"/>
  <c r="H185" i="1"/>
  <c r="H184" i="1"/>
  <c r="H183" i="1"/>
  <c r="H182" i="1"/>
  <c r="H181" i="1"/>
  <c r="I181" i="1" l="1"/>
  <c r="I182" i="1"/>
  <c r="I183" i="1"/>
  <c r="I184" i="1"/>
  <c r="I185" i="1"/>
  <c r="I187" i="1"/>
  <c r="I188" i="1"/>
  <c r="I190" i="1"/>
  <c r="I192" i="1"/>
  <c r="I194" i="1"/>
  <c r="I195" i="1"/>
  <c r="H148" i="1" l="1"/>
  <c r="I148" i="1" s="1"/>
  <c r="H147" i="1"/>
  <c r="H146" i="1"/>
  <c r="I146" i="1" s="1"/>
  <c r="H145" i="1" l="1"/>
  <c r="I145" i="1" s="1"/>
  <c r="I147" i="1"/>
  <c r="H180" i="1"/>
  <c r="I180" i="1" s="1"/>
  <c r="H141" i="1"/>
  <c r="I141" i="1" s="1"/>
  <c r="H144" i="1"/>
  <c r="I144" i="1" s="1"/>
  <c r="H140" i="1"/>
  <c r="I140" i="1" s="1"/>
  <c r="H139" i="1"/>
  <c r="I139" i="1" s="1"/>
  <c r="H138" i="1" l="1"/>
  <c r="H137" i="1"/>
  <c r="H136" i="1"/>
  <c r="H134" i="1"/>
  <c r="I134" i="1" s="1"/>
  <c r="H133" i="1"/>
  <c r="I133" i="1" s="1"/>
  <c r="H132" i="1"/>
  <c r="I132" i="1" s="1"/>
  <c r="I136" i="1"/>
  <c r="I137" i="1"/>
  <c r="I138" i="1"/>
  <c r="H131" i="1"/>
  <c r="I131" i="1" s="1"/>
  <c r="H130" i="1"/>
  <c r="I130" i="1" s="1"/>
  <c r="H128" i="1"/>
  <c r="I128" i="1" s="1"/>
  <c r="H127" i="1"/>
  <c r="I127" i="1" s="1"/>
  <c r="H126" i="1"/>
  <c r="I126" i="1" s="1"/>
  <c r="H125" i="1" l="1"/>
  <c r="I125" i="1" s="1"/>
  <c r="H124" i="1"/>
  <c r="I124" i="1" s="1"/>
  <c r="H123" i="1"/>
  <c r="I123" i="1" s="1"/>
  <c r="H122" i="1"/>
  <c r="I122" i="1" s="1"/>
  <c r="H117" i="1" l="1"/>
  <c r="I117" i="1" s="1"/>
  <c r="H115" i="1" l="1"/>
  <c r="I115" i="1" l="1"/>
  <c r="H116" i="1"/>
  <c r="I116" i="1" s="1"/>
  <c r="H121" i="1"/>
  <c r="I121" i="1" s="1"/>
  <c r="H120" i="1"/>
  <c r="I120" i="1" s="1"/>
  <c r="H119" i="1"/>
  <c r="I119" i="1" s="1"/>
  <c r="H82" i="1" l="1"/>
  <c r="I82" i="1" s="1"/>
  <c r="H79" i="1"/>
  <c r="H78" i="1"/>
  <c r="H77" i="1"/>
  <c r="I77" i="1" s="1"/>
  <c r="H57" i="1"/>
  <c r="I57" i="1" s="1"/>
  <c r="H56" i="1"/>
  <c r="I56" i="1" s="1"/>
  <c r="H75" i="1"/>
  <c r="H72" i="1" l="1"/>
  <c r="I72" i="1" s="1"/>
  <c r="H74" i="1"/>
  <c r="I74" i="1" s="1"/>
  <c r="H71" i="1" l="1"/>
  <c r="I71" i="1" s="1"/>
  <c r="I67" i="1"/>
  <c r="I68" i="1"/>
  <c r="H70" i="1"/>
  <c r="I70" i="1" s="1"/>
  <c r="H69" i="1"/>
  <c r="I69" i="1" s="1"/>
  <c r="H66" i="1"/>
  <c r="I66" i="1" s="1"/>
  <c r="I65" i="1"/>
  <c r="H64" i="1"/>
  <c r="I64" i="1" s="1"/>
  <c r="I63" i="1"/>
  <c r="H81" i="1"/>
  <c r="I81" i="1" s="1"/>
  <c r="H80" i="1"/>
  <c r="I80" i="1" s="1"/>
  <c r="I79" i="1"/>
  <c r="I78" i="1"/>
  <c r="I75" i="1"/>
  <c r="H113" i="1" l="1"/>
  <c r="H112" i="1"/>
  <c r="H110" i="1"/>
  <c r="H108" i="1"/>
  <c r="H107" i="1"/>
  <c r="H106" i="1"/>
  <c r="H105" i="1"/>
  <c r="H104" i="1"/>
  <c r="H61" i="1"/>
  <c r="I61" i="1" s="1"/>
  <c r="H60" i="1"/>
  <c r="I60" i="1" s="1"/>
  <c r="H59" i="1"/>
  <c r="I59" i="1" s="1"/>
  <c r="H102" i="1"/>
  <c r="H101" i="1"/>
  <c r="H100" i="1"/>
  <c r="I100" i="1" s="1"/>
  <c r="H99" i="1"/>
  <c r="I99" i="1" s="1"/>
  <c r="H98" i="1"/>
  <c r="I98" i="1" s="1"/>
  <c r="H97" i="1"/>
  <c r="H96" i="1"/>
  <c r="H95" i="1" l="1"/>
  <c r="I95" i="1" s="1"/>
  <c r="H94" i="1"/>
  <c r="H93" i="1" l="1"/>
  <c r="H92" i="1"/>
  <c r="H91" i="1"/>
  <c r="H90" i="1"/>
  <c r="H89" i="1" l="1"/>
  <c r="H88" i="1"/>
  <c r="H87" i="1"/>
  <c r="H86" i="1"/>
  <c r="H85" i="1"/>
  <c r="H84" i="1" l="1"/>
  <c r="I84" i="1" s="1"/>
  <c r="I85" i="1"/>
  <c r="I86" i="1"/>
  <c r="I87" i="1"/>
  <c r="I88" i="1"/>
  <c r="I89" i="1"/>
  <c r="I90" i="1"/>
  <c r="I91" i="1"/>
  <c r="I92" i="1"/>
  <c r="I93" i="1"/>
  <c r="I94" i="1"/>
  <c r="I96" i="1"/>
  <c r="I97" i="1"/>
  <c r="I101" i="1"/>
  <c r="I102" i="1"/>
  <c r="H103" i="1"/>
  <c r="I103" i="1" s="1"/>
  <c r="I104" i="1"/>
  <c r="I105" i="1"/>
  <c r="I106" i="1"/>
  <c r="I107" i="1"/>
  <c r="I108" i="1"/>
  <c r="H109" i="1"/>
  <c r="I109" i="1" s="1"/>
  <c r="I110" i="1"/>
  <c r="H111" i="1"/>
  <c r="I111" i="1" s="1"/>
  <c r="I112" i="1"/>
  <c r="I113" i="1"/>
  <c r="H83" i="1"/>
  <c r="H55" i="1" l="1"/>
  <c r="H54" i="1"/>
  <c r="H53" i="1"/>
  <c r="H52" i="1"/>
  <c r="H51" i="1"/>
  <c r="H50" i="1"/>
  <c r="H49" i="1" l="1"/>
  <c r="H48" i="1" l="1"/>
  <c r="I48" i="1" s="1"/>
  <c r="H47" i="1"/>
  <c r="I47" i="1" s="1"/>
  <c r="H46" i="1"/>
  <c r="I46" i="1" s="1"/>
  <c r="H45" i="1"/>
  <c r="I45" i="1" s="1"/>
  <c r="H43" i="1"/>
  <c r="I43" i="1" s="1"/>
  <c r="I49" i="1"/>
  <c r="I50" i="1"/>
  <c r="I51" i="1"/>
  <c r="I52" i="1"/>
  <c r="I53" i="1"/>
  <c r="I54" i="1"/>
  <c r="I55" i="1"/>
  <c r="I83" i="1"/>
  <c r="H42" i="1"/>
  <c r="I42" i="1" s="1"/>
  <c r="H41" i="1"/>
  <c r="I41" i="1" s="1"/>
  <c r="H40" i="1"/>
  <c r="I40" i="1" s="1"/>
  <c r="H38" i="1"/>
  <c r="I38" i="1" s="1"/>
  <c r="H39" i="1"/>
  <c r="I39" i="1" s="1"/>
  <c r="H33" i="1"/>
  <c r="I33" i="1" s="1"/>
  <c r="H37" i="1"/>
  <c r="I37" i="1" s="1"/>
  <c r="H36" i="1"/>
  <c r="I36" i="1" s="1"/>
  <c r="H35" i="1"/>
  <c r="H32" i="1" l="1"/>
  <c r="H31" i="1"/>
  <c r="H30" i="1"/>
  <c r="I30" i="1" s="1"/>
  <c r="H29" i="1"/>
  <c r="I29" i="1" s="1"/>
  <c r="H28" i="1"/>
  <c r="I28" i="1" s="1"/>
  <c r="H27" i="1"/>
  <c r="H26" i="1"/>
  <c r="H25" i="1"/>
  <c r="I31" i="1"/>
  <c r="I32" i="1"/>
  <c r="H34" i="1"/>
  <c r="I34" i="1" s="1"/>
  <c r="I35" i="1"/>
  <c r="H24" i="1"/>
  <c r="H23" i="1"/>
  <c r="H22" i="1" l="1"/>
  <c r="I25" i="1" l="1"/>
  <c r="I24" i="1"/>
  <c r="I23" i="1"/>
  <c r="I22" i="1"/>
  <c r="I26" i="1"/>
  <c r="I27" i="1"/>
  <c r="H21" i="1" l="1"/>
  <c r="I21" i="1" s="1"/>
  <c r="H20" i="1" l="1"/>
  <c r="I20" i="1" s="1"/>
  <c r="H19" i="1"/>
  <c r="I19" i="1" s="1"/>
  <c r="H18" i="1"/>
  <c r="I18" i="1" s="1"/>
  <c r="H17" i="1"/>
  <c r="I17" i="1" s="1"/>
  <c r="H10" i="1"/>
  <c r="I10" i="1" s="1"/>
  <c r="H16" i="1"/>
  <c r="I16" i="1" s="1"/>
  <c r="H11" i="1"/>
  <c r="I11" i="1" s="1"/>
  <c r="H15" i="1"/>
  <c r="I15" i="1" s="1"/>
  <c r="H14" i="1" l="1"/>
  <c r="I14" i="1" s="1"/>
  <c r="H13" i="1"/>
  <c r="I13" i="1" s="1"/>
  <c r="H12" i="1"/>
  <c r="I12" i="1" s="1"/>
</calcChain>
</file>

<file path=xl/sharedStrings.xml><?xml version="1.0" encoding="utf-8"?>
<sst xmlns="http://schemas.openxmlformats.org/spreadsheetml/2006/main" count="3050" uniqueCount="1220">
  <si>
    <t>Наименование и характеристика объекта, регион строительства объекта</t>
  </si>
  <si>
    <t>Период выполнения работ</t>
  </si>
  <si>
    <t>Дата начала</t>
  </si>
  <si>
    <t>общий (в случае генподряда)</t>
  </si>
  <si>
    <t>06.2013</t>
  </si>
  <si>
    <t>10.2013</t>
  </si>
  <si>
    <t>03.2010</t>
  </si>
  <si>
    <t>12.2013</t>
  </si>
  <si>
    <t>09.2011</t>
  </si>
  <si>
    <t>12.2014</t>
  </si>
  <si>
    <t>КГКУ «Дирекция по комплексному развитию Нижнего Приангарья» (КГКУ «ДКР НП»)
660017, г. Красноярск, ул. Урицкого, д. 123,                 тел. (391) 227-81-31 факс: (391)227-81-53 Генподрядчик: ООО «Инжиниринговый центр Энерго»   660049, г. Красноярск, ул. Дубровинского, д. 100  Тел.: (391) 266-07-34 
Директор Цинадзе Д.Р.        
Управляющий директор Шеховцев Г.В.</t>
  </si>
  <si>
    <t>12.2015</t>
  </si>
  <si>
    <t>03.2012</t>
  </si>
  <si>
    <t>08.2011</t>
  </si>
  <si>
    <t>09.2013</t>
  </si>
  <si>
    <t>10.2016</t>
  </si>
  <si>
    <t>10.2015</t>
  </si>
  <si>
    <t>08.2016</t>
  </si>
  <si>
    <t>04.2016</t>
  </si>
  <si>
    <t>09.2016</t>
  </si>
  <si>
    <t>05.2016</t>
  </si>
  <si>
    <t>02.2016</t>
  </si>
  <si>
    <t>06.2015</t>
  </si>
  <si>
    <t xml:space="preserve">Открытый пункт перехода 500кВ на строящейся Богучанской ГЭС с токопроводами связи 500кВ от комплектного распределительного устройства элегазового 500кВ до открытого пункта перехода 500кВ.   
</t>
  </si>
  <si>
    <t>02.2014</t>
  </si>
  <si>
    <t>03.2013</t>
  </si>
  <si>
    <t>Монтаж управляемого шунтирующего реактора РТУ-180000/500. Демонтаж старого оборудования и ошиновки 500кВ, 110кВ. Монтаж выключателей, разъединителей, трансформаторов тока и напряжения 500кВ. Изготовление и монтаж металлоконструкций  под оборудование 500, 110кВ, порталов 500кВ. Монтаж кабельных лотков и прокладка кабелей. Монтаж контура заземления ПС. Монтаж ошиновки ОРУ 500кВ.</t>
  </si>
  <si>
    <t>Монтаж кабельных линий XLPE 500 кВ сечением 1х2500 мм2  (производство SUEDKABEL, Германия). Изготовление и монтаж металлоконструкций для прокладки кабеля 500кВ. 
Пусконаладочные работы.</t>
  </si>
  <si>
    <t>ОАО «Иркутская электросетевая компания»
664033, г. Иркутск, ул. Лермонтова 257,
Тел: (3952) 792-459 
Факс: (3952) 792-461
Генеральный директор Б.Н. Каратаев
Восточные электрические сети
Директор филиала ВЭС Садохин А.И.                 664047, Иркутская область, г. Иркутск, ул. Депутатская, д.38
Тел./факс.: 8(395-2)794-859, 8(395-2) 794-811</t>
  </si>
  <si>
    <t xml:space="preserve">КРУЭ 500кВ </t>
  </si>
  <si>
    <t xml:space="preserve">КРУЭ 220кВ </t>
  </si>
  <si>
    <t>08.2009</t>
  </si>
  <si>
    <t>Монтаж  КРУЭ 500кВ (производство ABB, Швейцария). 
Пусконаладочные работы.</t>
  </si>
  <si>
    <t>в т.ч. собственными силами</t>
  </si>
  <si>
    <t>Монтаж комплектного распределительного устройства с элегазовой изоляцией КРУЭ 220 кВ (производство ABB, Швейцария). Пусконаладочные работы.</t>
  </si>
  <si>
    <t>07.2013</t>
  </si>
  <si>
    <t>01.2012</t>
  </si>
  <si>
    <t>01.2013</t>
  </si>
  <si>
    <t>Монтаж кабельных металлоконструкций и линий КРУЭ 220кВ</t>
  </si>
  <si>
    <t>Опыт выполнения работ</t>
  </si>
  <si>
    <t>Общества с ограниченной ответственностью «Братское монтажное управление Гидроэлектромонтаж»</t>
  </si>
  <si>
    <t xml:space="preserve"> 2011 по 2015 г.г.</t>
  </si>
  <si>
    <t>Дата окончания (для незавершенных работ процент выполнения)</t>
  </si>
  <si>
    <t>Объем СМР, тыс. руб. без НДС</t>
  </si>
  <si>
    <t xml:space="preserve">Виды работ, выполненные собственными силами и силами привлеченных субподрядных организаций </t>
  </si>
  <si>
    <t>Наличие отзыва</t>
  </si>
  <si>
    <t>03.2011</t>
  </si>
  <si>
    <t>Монтаж технологического и нестандартного технологического оборудования. Строительные (фундаменты компрессорной установки и воздухосборников) и электромонтажные работы.</t>
  </si>
  <si>
    <t>12.2011</t>
  </si>
  <si>
    <t>06.2012</t>
  </si>
  <si>
    <t>Ремонт кабельных концевых муфт 220 кВ</t>
  </si>
  <si>
    <t>05.2012</t>
  </si>
  <si>
    <t>12.2012</t>
  </si>
  <si>
    <t>Электромонтажные работы по модернизации устройств центральной сигнализации машинного зала здания  Братской ГЭС- 1 этап.</t>
  </si>
  <si>
    <t>09.2012</t>
  </si>
  <si>
    <t xml:space="preserve">Электромонтажные и пуско-наладочные работы по реконструкции электрооборудования крана козлового №2 г/п 150т.   </t>
  </si>
  <si>
    <t>10.2012</t>
  </si>
  <si>
    <t>Строительно-монтажные и пусконаладочные работы по реконструкции сети постоянного тока машинного зала здания ГЭС - 3 этап</t>
  </si>
  <si>
    <t>04.2014</t>
  </si>
  <si>
    <t>Вывозка рабочего колеса с МП-1 на центральный склад Братской ГЭС</t>
  </si>
  <si>
    <t>09.2014</t>
  </si>
  <si>
    <t>04.2015</t>
  </si>
  <si>
    <t>09.2015</t>
  </si>
  <si>
    <t>06.2016</t>
  </si>
  <si>
    <t>Аварийно-восстановительные работы по кабельным тоннелям, галереям и будкам ОРУ. Замена силового, контрольного, оптического, маслонаполненного кабелей.</t>
  </si>
  <si>
    <t>№ п/п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</si>
  <si>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</si>
  <si>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</si>
  <si>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</si>
  <si>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</si>
  <si>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</si>
  <si>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</si>
  <si>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</si>
  <si>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</si>
  <si>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</si>
  <si>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</si>
  <si>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</si>
  <si>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</si>
  <si>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07.2012</t>
  </si>
  <si>
    <t>Монтаж узлов пожаротушения пусковых комплексов №№ 7,12, 15, 17, 16.</t>
  </si>
  <si>
    <t>1.13</t>
  </si>
  <si>
    <t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ООО "ПО "Иркутскэнерго"
664043, г. Иркутск, бульвар Рябикова, 65
тел.(3952)790 076, 795 033
Директор Воробьев В.П.</t>
  </si>
  <si>
    <t>1.14</t>
  </si>
  <si>
    <t xml:space="preserve"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ООО "НПФ "Ракурс"
198095, г. Санкт-Петербург, 
Химический пер.,  д.1 корп.2 
тел. (812)252 32 44, 252 64 79
Генеральный директор Чернигов Л.М.
</t>
  </si>
  <si>
    <t>08.2013</t>
  </si>
  <si>
    <t>Строительно-монтажные работы следующих комплексов: Терминал АРЧМ, ГРАРМ с верхним уровнем, ЭГР 16Г, ССМД 16Г с верхним уровнем.</t>
  </si>
  <si>
    <t>03.2014</t>
  </si>
  <si>
    <t>1.15</t>
  </si>
  <si>
    <t>1.16</t>
  </si>
  <si>
    <t>1.17</t>
  </si>
  <si>
    <t>1.18</t>
  </si>
  <si>
    <t>06.2014</t>
  </si>
  <si>
    <t>09.2016
(64%)</t>
  </si>
  <si>
    <t>07.2014</t>
  </si>
  <si>
    <t>07.2016
(97%)</t>
  </si>
  <si>
    <t>10.2014</t>
  </si>
  <si>
    <t>1.19</t>
  </si>
  <si>
    <t>1.20</t>
  </si>
  <si>
    <t>1.21</t>
  </si>
  <si>
    <t>1.22</t>
  </si>
  <si>
    <t>1.23</t>
  </si>
  <si>
    <t>02.2015</t>
  </si>
  <si>
    <t>07.2016 
(64%)</t>
  </si>
  <si>
    <t>05.2015</t>
  </si>
  <si>
    <t>07.2015</t>
  </si>
  <si>
    <t>Строительно-монтажные  и пусконаладочные работы следующих комплексов: ПТК ССМД 14Г с верхним уровнем</t>
  </si>
  <si>
    <t>12.2016 
(75%)</t>
  </si>
  <si>
    <t>11.2015</t>
  </si>
  <si>
    <t xml:space="preserve">Прокладка и измерение всех волоконно-оптических кабелей, их сварка, подключение и измерение.
</t>
  </si>
  <si>
    <t xml:space="preserve">Строительно-монтажные  и пусконаладочные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</si>
  <si>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3Г, ССМД 3Г с верхним уровнем, ЭГР 4Г, ССМД 4Г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</si>
  <si>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1Г, ЭГР 2Г
</t>
  </si>
  <si>
    <t xml:space="preserve">Строительно-монтажные  и пусконаладочные работы следующих комплексов: Терминал АРЧМ, ГРАРМ с верхним уровнем, ЭГР 18Г
</t>
  </si>
  <si>
    <t xml:space="preserve">Строительно-монтажные  и пусконаладочные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уровнем.
</t>
  </si>
  <si>
    <t xml:space="preserve">Строительно-монтажные  и пусконаладочные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14Г.
</t>
  </si>
  <si>
    <t xml:space="preserve">Строительно-монтажные  и пусконаладочные работы следующих комплексов:  ССМД 1Г с верхним уровнем
</t>
  </si>
  <si>
    <t xml:space="preserve">
1</t>
  </si>
  <si>
    <t xml:space="preserve">
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</t>
  </si>
  <si>
    <t>Комплексная система управления ГА для участия в АВРЧМ
г. Братск,  Иркутской области</t>
  </si>
  <si>
    <t>02.2011</t>
  </si>
  <si>
    <t>Электромонтажные работы по замене трансформатора тока напряжением 500 кВ</t>
  </si>
  <si>
    <t>Строительно-монтажные  работы по автоматизированной измерительной системе  контроля состояния гидротехнических сооружений бетонной плотины</t>
  </si>
  <si>
    <t>2.1</t>
  </si>
  <si>
    <t>2.2</t>
  </si>
  <si>
    <t>08.2012</t>
  </si>
  <si>
    <t>Строительно-монтажные  работы  (монтаж оборудования, демонтаж и монтаж кабельных связей).</t>
  </si>
  <si>
    <t>05.2011</t>
  </si>
  <si>
    <t>10.2011</t>
  </si>
  <si>
    <t>Ремонтные работы</t>
  </si>
  <si>
    <t>11.2012</t>
  </si>
  <si>
    <t>Разработка рабочей документации, строительно-монтажные  и пусконаладочные работы  по замене релейных защит генераторов 13Г, 14Г и трансформатора 7Т на микропроцессорные защиты</t>
  </si>
  <si>
    <t>Строительно-монтажные  работы по замене трансформаторов тока.</t>
  </si>
  <si>
    <t>04.2013</t>
  </si>
  <si>
    <t>Поставка оборудования и строительно-монтажные  работы.</t>
  </si>
  <si>
    <t>Строительно-монтажные, пусконаладочные и проектные работы по замене релейных защит генераторов 13Г, 14Г и трансформатора 7Т на микропроцессорные защиты</t>
  </si>
  <si>
    <t>Строительно-монтажные  и пусконаладочные работы  по замене агрегатных собственных нужд 0,4 кВ по объекту</t>
  </si>
  <si>
    <t>Строительно-монтажные  и пусконаладочные работы</t>
  </si>
  <si>
    <t>08.2014</t>
  </si>
  <si>
    <t>Строительно-монтажные  и пусконаладочные работы. Трансформатор ТЦ 630000/500 блок 2 г/а 3, 4</t>
  </si>
  <si>
    <t>11.2014</t>
  </si>
  <si>
    <t xml:space="preserve">Строительно-монтажные   работы на ОРУ 220кВ,  ОРУ 500кВ </t>
  </si>
  <si>
    <t>08.2015</t>
  </si>
  <si>
    <t>08.2016 
(46%)</t>
  </si>
  <si>
    <t>Строительно-монтажные   работы и поставка оборудования</t>
  </si>
  <si>
    <t>Строительно-монтажные   работы</t>
  </si>
  <si>
    <t>07.2016
(82%)</t>
  </si>
  <si>
    <t xml:space="preserve">Канал высокочастотной связи по линиям электропередачи 500 кВ ВЛ-571 (инв.№ БРГ_ 00049587).
</t>
  </si>
  <si>
    <t xml:space="preserve">
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</t>
  </si>
  <si>
    <t xml:space="preserve">
2</t>
  </si>
  <si>
    <t>1.24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</si>
  <si>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</si>
  <si>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</si>
  <si>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</si>
  <si>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</si>
  <si>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</si>
  <si>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</si>
  <si>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</si>
  <si>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</si>
  <si>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</si>
  <si>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</si>
  <si>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</si>
  <si>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</si>
  <si>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</si>
  <si>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</si>
  <si>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</si>
  <si>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</si>
  <si>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</si>
  <si>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</si>
  <si>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</si>
  <si>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ПАО «Иркутскэнерго»
664025, г. Иркутск, ул. Сухэ-Батора,3
Генеральный директор Причко О.Н. 
Филиал ПАО "Иркутскэнерго" 
Усть-Илимская ГЭС
666684 Иркутская область, г.Усть-Илимск-14, а/я 330 тел. (39535) 9 53 59
Директор филиала Кровушкин А.В.</t>
  </si>
  <si>
    <t>Строительные  (ограждение участков территории) и электромонтажные (устройство освещения на участке металлического ограждения) работы.</t>
  </si>
  <si>
    <t>Строительно-монтажные  и пусконаладочные работы по замене оборудования и кабельных связей щита постоянного тока (ЩПТ) здания ГЭС</t>
  </si>
  <si>
    <t>Строительно-монтажные  и пусконаладочные работы по реконструкции, подготовке к работе и пуску дизель-генераторных установок.</t>
  </si>
  <si>
    <t>3.1</t>
  </si>
  <si>
    <t>01.2011</t>
  </si>
  <si>
    <t xml:space="preserve">Электромонтажные   работы </t>
  </si>
  <si>
    <t>04.2011</t>
  </si>
  <si>
    <t>06.2011</t>
  </si>
  <si>
    <t>Ремонтные работы кабельных связей</t>
  </si>
  <si>
    <t>02.2012</t>
  </si>
  <si>
    <t>Ремонтные работы кабельных трасс</t>
  </si>
  <si>
    <t>04.2012</t>
  </si>
  <si>
    <t xml:space="preserve">Ремонтные работы </t>
  </si>
  <si>
    <t>Строительно-монтажные   работы, комплектация и поставка оборудования.</t>
  </si>
  <si>
    <t>Строительно-монтажные  и пусконаладочные  работы, поставка оборудования</t>
  </si>
  <si>
    <t>Строительно-монтажные  и пусконаладочные  работы.</t>
  </si>
  <si>
    <t>3</t>
  </si>
  <si>
    <t>3.2</t>
  </si>
  <si>
    <t>3.3</t>
  </si>
  <si>
    <t>Строительные работы, монтаж кабелей и кабельных конструкций 6 и 0,4 кВ, контрольных кабелей вторичной коммутации, приобретение и монтаж электрооборудования 0,4, 6 кВ, пусконаладочные работы системы шин 0,4, 6 кВ, АСУ СН ИГЭС.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</si>
  <si>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</si>
  <si>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</si>
  <si>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</si>
  <si>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</si>
  <si>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</si>
  <si>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</si>
  <si>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</si>
  <si>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</si>
  <si>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</si>
  <si>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</si>
  <si>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</si>
  <si>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</si>
  <si>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</si>
  <si>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</si>
  <si>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</si>
  <si>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</si>
  <si>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</si>
  <si>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</si>
  <si>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 xml:space="preserve">ПАО «Иркутскэнерго»
664025, г. Иркутск, ул. Сухэ-Батора,3
Генеральный директор Причко О.Н. 
Филиал ПАО "Иркутскэнерго" ТЭЦ-6
Иркутская область г. Братск-18, а/я 428 Тел.(395-3) 45-60-25, (395-3) 49-13-59 
Директор филиала
Коноплев Сергей Иванович
</t>
  </si>
  <si>
    <t>09.204</t>
  </si>
  <si>
    <t>Монтажные работы</t>
  </si>
  <si>
    <t>01.2015</t>
  </si>
  <si>
    <t>6</t>
  </si>
  <si>
    <t>5.1</t>
  </si>
  <si>
    <t>5.2</t>
  </si>
  <si>
    <t>5.3</t>
  </si>
  <si>
    <t>5.4</t>
  </si>
  <si>
    <t>5.5</t>
  </si>
  <si>
    <t>ПАО «Иркутскэнерго»
664025, г. Иркутск, ул. Сухэ-Батора,3
Генеральный директор Причко О.Н. 
Филиал ПАО "Иркутскэнерго" ТЭЦ-10
665828 Иркутская область, г. Ангарск, а/я 1199 Тел.(3955) 501-359, 54-00-24  
Директор филиала 
Одяков Игорь Геннадьевич</t>
  </si>
  <si>
    <t>Ремонт освещения электроцехаи дымовой трубы ст. №2, Монтаж контура заземления оперативной лаборатории.</t>
  </si>
  <si>
    <t>Гидрогенератор № 3, 4.  
Замена системы тиристорного возбуждения
г. Иркутск</t>
  </si>
  <si>
    <t>Гидрогенератор № 6, 7  
Замена системы тиристорного возбуждения
г. Иркутск</t>
  </si>
  <si>
    <t>Реконструкция схемы собственных нужд станции на напряжении 6 и 0,4 кВ. 4 пусковой комплекс.
г. Иркутск</t>
  </si>
  <si>
    <t>11.2008</t>
  </si>
  <si>
    <t>Строительно-монтажные  и пусконаладочные  работы, разработка проектно-сметной документации.</t>
  </si>
  <si>
    <t>Монтаж блочных трансформаторов ТЦ-400000/500-УХЛ-1 (производство ПАО «Запорожтрансформатор», Украина) - 6 шт. Монтаж блочных трансформаторов ТЦ-400000/220-УХЛ-1 (производство ПАО «Запорожтрансформатор», Украина) - 3 шт.</t>
  </si>
  <si>
    <t>Выполнение комплекса электромонтажных и пусконаладочных работ собственных нужд, систем освещения и заземления Богучанской ГЭС</t>
  </si>
  <si>
    <t>09.2010</t>
  </si>
  <si>
    <t xml:space="preserve">Монтаж и пусконаладочные  работы вторичного оборудования </t>
  </si>
  <si>
    <t>Строительно-монтажные  и пусконаладочные  работы</t>
  </si>
  <si>
    <t>11.2013</t>
  </si>
  <si>
    <t xml:space="preserve">Работы по монтажу шинных опор, монтажу ошиновки на ОРУ 220 кВ </t>
  </si>
  <si>
    <t>Работы по определению источника повышенного газовыделения в блочном трансформаторе Т7 типа ТЦ-400000/220-УХЛ1</t>
  </si>
  <si>
    <t xml:space="preserve"> ПС "Ангара" 
Работы по монтажу шинных опор, монтажу ошиновки на ОРУ 220 кВ ПС "Ангара" для подключения ячеек №3-4</t>
  </si>
  <si>
    <t>ПАО «Богучанская ГЭС»  
663491, г. Кодинск, стройбаза левого берега. Зд. 1, объединённая база №1 а/я 132 
тел.(39143) 3-10-00, 7-13-96
Генеральный директор Демченко В.В.</t>
  </si>
  <si>
    <t>Ремонтные и пусконаладочные  работы.</t>
  </si>
  <si>
    <t>Поставка материалов, осуществление СМР и ПНР по второму этапу АСО КИА гидротехнических сооружений БоГЭС</t>
  </si>
  <si>
    <t>Поставка материалов, строительно-монтажные  и пусконаладочные  работы</t>
  </si>
  <si>
    <t>Поставка, монтаж и пуско-наладка оборудования системы охранного освещения</t>
  </si>
  <si>
    <t>Поставка оборудования, монтажные  и пусконаладочные  работы</t>
  </si>
  <si>
    <t>Ремонт блочного трансформатора Т-2 типа ТЦ-400000/500-УХЛ1, зав. №159932</t>
  </si>
  <si>
    <t>Ремонтные  работы.</t>
  </si>
  <si>
    <t>Монтаж системы управления компрессорами высокого и низкого давления инв. №00043203</t>
  </si>
  <si>
    <t xml:space="preserve">Маслонаполненная кабельная линия 220 кВ ГТ инв.№00020112
 </t>
  </si>
  <si>
    <t>Периметральное ограждение на правобережной границе территории Братской ГЭС</t>
  </si>
  <si>
    <t xml:space="preserve">Аварийный ремонт кабеля и строительных конструкций МВДТ 220 кВ 14ГТ. 15 ГТ, 16 ГТ. </t>
  </si>
  <si>
    <t>Переоборудование систем автоматической пожарной сигнализации, пожаротушения производственных и административно-бытовых помещений Братской ГЭС</t>
  </si>
  <si>
    <t>Комплексная система управления ГА для участия в АВРЧМ</t>
  </si>
  <si>
    <t>Замена трансформатора тока напряжением 500 кВ станционный номер № ТТ В-4Т-572</t>
  </si>
  <si>
    <t xml:space="preserve">
Усть-Илимская ГЭС
г. Усть-Илимск, Иркутской области
</t>
  </si>
  <si>
    <t>Реконструкция системы оперативного постоянного тока</t>
  </si>
  <si>
    <t xml:space="preserve">Модернизация автоматизированной системы опроса контрольно-измерительной аппаратуры за состоянием гидротехнических сооружений бетонной плотины </t>
  </si>
  <si>
    <t>Модернизация автоматизированной системы опроса контрольно-измерительной аппаратуры за состоянием гидротехнических сооружений бетонной плотины</t>
  </si>
  <si>
    <t>Реконструкция общестанционной системы собственных нужд с подключением источников автономного электропитания по постоянной схеме</t>
  </si>
  <si>
    <t xml:space="preserve">Реконструкция типового блока 500 кВ. Реконструкция блока 7Т. </t>
  </si>
  <si>
    <t xml:space="preserve">Реконструкция главной схемы ОРУ-500 с заменой трансформаторов тока  500 кВ. </t>
  </si>
  <si>
    <r>
      <t xml:space="preserve">Реконструкция типового блока 500 кВ. Реконструкция блока 8Т </t>
    </r>
    <r>
      <rPr>
        <sz val="8"/>
        <color theme="1"/>
        <rFont val="Times New Roman"/>
        <family val="1"/>
        <charset val="204"/>
      </rPr>
      <t>(РЗА)</t>
    </r>
  </si>
  <si>
    <t>Реконструкция типового блока 500 кВ  Реконструкция блока 8Т. АСН 0,4 кВ</t>
  </si>
  <si>
    <t>Модернизация электрооборудования козлового крана зав.№1рег.№152</t>
  </si>
  <si>
    <t>Ремонт металлоконструкций стелы УИГЭС  и площадки, прилегающей к корпусу</t>
  </si>
  <si>
    <t>Капитальный ремонт токопроводов ТЭКН-20/23000 в ячейке трансформаторов ст.№ 1Т, 2Т с полной заменой опорных изоляторов</t>
  </si>
  <si>
    <t xml:space="preserve"> Реконструкция устройств РЗА ВЛ 500 кВ УИ-ГЭС-БрГЭС (ВЛ571) с реализацией ОАПВ</t>
  </si>
  <si>
    <t xml:space="preserve"> Реконструкция устройств РЗА ВЛ 500 кВ УИ-ГЭС-БрГЭС (ВЛ572) с реализацией ОАПВ</t>
  </si>
  <si>
    <t>Модернизация (реконструкция) РЗА автотрансформаторов 1АТ, 2АТ</t>
  </si>
  <si>
    <t>Реконструкция сегментного затвора водосливной секции бетонной плотины для обеспечения бесперебойного маневрирования в период отрицательных температур</t>
  </si>
  <si>
    <t>Техническое перевооружение сегментного затвора водосливной секции бетонной плотины для обеспечения беспрепятственного маневрирования в период отрицательных температур 48ЛЭ №7</t>
  </si>
  <si>
    <t>Кабельные трассы контрольно-измерительных приборов  и автоматики</t>
  </si>
  <si>
    <t>Модернизация средств контроля и управления технологическим процессом к/а ст.№2</t>
  </si>
  <si>
    <t>Кабельные трассы котлоагрегата     
ст. №2 цеха тепловой автоматики и измерений</t>
  </si>
  <si>
    <t>Кабельные трассы температурного контроля котлоагрегата  ст. №3 цеха тепловой автоматики и измерений</t>
  </si>
  <si>
    <t>Модернизация сетевого насоса левого берега с установкой гидромуфты;
Установка регуляторов на сливе с расширителей непрерывной продувки к/а 1-5,7</t>
  </si>
  <si>
    <t>Система вибромониторинга турбины ст. №1</t>
  </si>
  <si>
    <t>Кабельные трассы котлоагрегата     
ст. №3 питательно-деаэраторных установок (ПДУ) 1-4</t>
  </si>
  <si>
    <t>Кабельные трассы турбоагрегата     
ст. № 1</t>
  </si>
  <si>
    <t>Кабельные трассы температурного контроля и дистанционного управления регулирующей арматуры котлоагрегата       ст. №4, электропривода 3ПТС-15, ОС-13А</t>
  </si>
  <si>
    <t>Модернизация системы управления и контроля кислородного хозяйства. Реконструкция схемы обдувки ОГ-1-8, АВО 1-6, ОМ 1-20 котлоагрегата ст.№1</t>
  </si>
  <si>
    <t>Ремонт кабельных трасс КИПиА</t>
  </si>
  <si>
    <t>Модернизация системы возбуждения турбогенератора ст. №5</t>
  </si>
  <si>
    <t>Ремонт кабельных трасс КИП и А</t>
  </si>
  <si>
    <t>АКЗ металлоконструкций ГК</t>
  </si>
  <si>
    <t>Модернизация сетевого насоса промплощадки с установкой частотно-регулируемого привода.</t>
  </si>
  <si>
    <t>Установка частотного регулируемого привода на рабочих машинах (насосах) ПКНС</t>
  </si>
  <si>
    <t>Установка частотного регулируемого привода на рабочих машинах (насосах) ГКНС</t>
  </si>
  <si>
    <t>Ремонт площадок обслуживания КВО
Иркутская область</t>
  </si>
  <si>
    <t>Ремонт стеновых покрытий в ГК ряд А-Б отм. 0.00-12.00, оси 0-1</t>
  </si>
  <si>
    <t>ТЭЦ-6
г. Братск,  Иркутской области</t>
  </si>
  <si>
    <t>Кран мостовой г/п 30/5 тн. Тех. перевооружение электрооборудования и  кабины</t>
  </si>
  <si>
    <t>Ремонт оборудования КИПиА ТЭЦ6 ТИиТС (теплоисточники и теплосети)</t>
  </si>
  <si>
    <t>Ремонт освещения, кабельных трасс и силовых кабелей</t>
  </si>
  <si>
    <t>Ремонт воздушной линии электропередач 0,4 кВ станции насосов осветленной воды.</t>
  </si>
  <si>
    <t>Аккумуляторная батарея №5. Замена ЩПТ-5 с аккумуляторной батареей</t>
  </si>
  <si>
    <t>ТЭЦ-10 
г. Ангарск,  Иркутской области</t>
  </si>
  <si>
    <t xml:space="preserve">Ремонт электротехнического оборудования </t>
  </si>
  <si>
    <t>Ремонт электротехнического оборудования</t>
  </si>
  <si>
    <t>Работы по устройству временной системы отопления помещений КРУЭ 220 кВ Богучанской ГЭС на период выполнения монтажных работ.</t>
  </si>
  <si>
    <t>11.2011</t>
  </si>
  <si>
    <t>Реконструкция типового блока 500кВ. Реконструкция блока 5Т. Реконструкция агрегатных собственных нужд 0,4кВ блока 5Т.</t>
  </si>
  <si>
    <t>2.22</t>
  </si>
  <si>
    <t>Реконструкция типового блока 500кВ. Реконструкция блока 7Т. Реконструкция агрегатных собственных нужд 0,4кВ блока 7Т.</t>
  </si>
  <si>
    <t xml:space="preserve">КРУЭ 220 кВ Монтаж кабельных металлоконструкций </t>
  </si>
  <si>
    <t>Линия электропередач (ВЛ 10 кВ) по опорам с 1 по 69 до базы службы эксплуатации Богучанской ГЭС
г. Кодинск, Кежемский р-н, Красноярский край.</t>
  </si>
  <si>
    <t>Строительство ВЛ 10 кВ</t>
  </si>
  <si>
    <t>ЗАО "Спецэнергосистемы"
660049, г. Красноярск, ул. Карла Маркса, д.48 тел.(391)294-44-40
Директор Нестеров А.Р.</t>
  </si>
  <si>
    <t>Система мониторинга переходных режимов (СМПР)  Богучанской ГЭС</t>
  </si>
  <si>
    <t>Строительно-монтажные  и пусконаладочные работы по системе мониторинга переходных режимов (СМПР)</t>
  </si>
  <si>
    <t>ЗАО "Институт автоматизации энергетических систем"
630132, г. Новосибирск, ул. Железнодорожная, 12/1, 6 этаж, тел. (383) 363-02-65
Генеральный директор: Ландман А.К.</t>
  </si>
  <si>
    <t>2.23</t>
  </si>
  <si>
    <t xml:space="preserve">
Богучанская ГЭС
г. Кодинск, Кежемский р-н, Красноярский край.
</t>
  </si>
  <si>
    <t>5.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</si>
  <si>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</si>
  <si>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</si>
  <si>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</si>
  <si>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</si>
  <si>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</si>
  <si>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</si>
  <si>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</si>
  <si>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</si>
  <si>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</si>
  <si>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</si>
  <si>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</si>
  <si>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</si>
  <si>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</si>
  <si>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</si>
  <si>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6.1</t>
  </si>
  <si>
    <t>6.2</t>
  </si>
  <si>
    <t>6.3</t>
  </si>
  <si>
    <t>6.4</t>
  </si>
  <si>
    <t>6.5</t>
  </si>
  <si>
    <t>7</t>
  </si>
  <si>
    <t>7.1</t>
  </si>
  <si>
    <t>8</t>
  </si>
  <si>
    <t>8.1</t>
  </si>
  <si>
    <t>8.2</t>
  </si>
  <si>
    <t xml:space="preserve">
ПАО «Иркутскэнерго»
664025, г. Иркутск, ул. Сухэ-Батора,3
Генеральный директор Причко О.Н. 
Филиал ПАО "Иркутскэнерго" Иркутская ГЭС 
664056, г. Иркутск, Иркутская ГЭС, а/я 3408
тел.:  (3952)793-859,Факс:  (3952)793-856
Директор филиала Усов С.В.
</t>
  </si>
  <si>
    <t>Работы по аварийно-восстановительному ремонту (АВР) блочного трансформатора Т2 типа ТЦ 400000/500 УХЛ1 на БоГЭС</t>
  </si>
  <si>
    <t>Аварийно-восстановительный ремонт блочного трансформатора Т2 типа ТЦ 400000/500 УХЛ, пусконаладочные  работы, комплексное испытание</t>
  </si>
  <si>
    <t xml:space="preserve">ПАО «ФСК ЕЭС» 
117630, г. Москва, ул. Академика Челомея, д.5А.,
Генподрядчик: ЗАО «Электротехническая компания»  614111, Пермский край, г. Пермь, ул. Солдатова, 29/2   Тел./ф. (342)242-00-00, Генеральный директор Потанин В.А.            </t>
  </si>
  <si>
    <t>ООО "Энерготрансстрой"
121087, г. Москва, ул. Барклая, д.6 стр.3 
Генеральный директор Дудзинский В.А.</t>
  </si>
  <si>
    <t xml:space="preserve">
Усть-Илимская ТЭЦ
Иркутская область, г. Усть-Илимск
</t>
  </si>
  <si>
    <t>Непредвиденные работы и устранение дефектов на оборудование цеха ТАИ ТЭЦ-6 ТИиТС в г. Братске</t>
  </si>
  <si>
    <t>ПАО «Иркутскэнерго»
664025, г. Иркутск, ул. Сухэ-Батора,3
Генеральный директор Причко О.Н. 
Филиал ПАО "Иркутскэнерго" ТЭЦ-16
665651 Иркутская область, г. Железногорск-Илимский, 1 п/о, а/я 18. 
Тел.(39566) 2-61-59 (39566) 2-61-59
Директор филиала 
Черкасов Сергей Иванович</t>
  </si>
  <si>
    <t>Проектно-изыскательские, строительно-монтажные  и пусконаладочные  работы, поставка оборудования.</t>
  </si>
  <si>
    <t xml:space="preserve">ТЭЦ-16 
 Иркутская область, г. Железногорск-Илимский
</t>
  </si>
  <si>
    <t>10</t>
  </si>
  <si>
    <t>ПС-110/35/10 кВ "Киренская"
Реконструкция ПС
Иркутская область, г.Киренск</t>
  </si>
  <si>
    <t>21 от 11.04.11;
41 от 14.07.11; 
5 от 18.07.12; 
18 от 26.07.13</t>
  </si>
  <si>
    <t>№ договоров</t>
  </si>
  <si>
    <t>ПС 220/110/35/6кВ Лена
Реконструкция ПС
г. Усть-Кут,  Иркутской области.</t>
  </si>
  <si>
    <t>Монтаж электрооборудования ОРУ-35 и 110 кВ
Монтаж систем РЗиА, ПА, АИИСКУЭ.
Пусконаладочные работы.(Системы РЗиА и телемеханики (ТМ).
Измерения и испытания силовых трансформаторов.
Испытания силового электрооборудования 110 кВ. Металлоконструкции под оборудование открытого распределительного устройства ОРУ-35кВ и 110кВ
Поставка оборудования.</t>
  </si>
  <si>
    <t>Монтаж автотрансформаторов АТДЦТН-125000/220/110/6 - 2шт. Замена оборудования и ошиновки на ОРУ-220, 110, 35 кВ (выключателей, разъединителей, трансформаторов напряжения, ограничителей перенапряжения. трансформаторов тока). Монтаж батареи статических конденсаторов 3х25 МВАр (БСК 110 кВ), элегазовых выключателей, разъединителей 110 кВ. Изготовление и монтаж металлоконструкций под оборудование 220кВ, 110 кВ, 35кВ. Замена аккумуляторных батарей. Монтаж кабельно-проводниковой продукции. Демонтаж и монтаж шкафов РЗА. Поставка оборудования.
 Пусконаладочные работы.</t>
  </si>
  <si>
    <t>20 от 11.04.11
3 от 28.03.12
8 от 19.04.12
16 от 07.06.13</t>
  </si>
  <si>
    <t>ПС 27,5/6 кВ "Шестаково"  с отходящей ВЛ-6кВ
Строительство ПС
п. Шестоково, Нижнеилимский р-н, Иркутская обл.</t>
  </si>
  <si>
    <t>Монтаж ОПУ,  электрооборудования (разъединители, выключатели), общестроительные работы, ограждение. Пусконаладочные работы.</t>
  </si>
  <si>
    <t>4 от 24.05.12</t>
  </si>
  <si>
    <t>6 от 18.07.12
7 от 21.06.12</t>
  </si>
  <si>
    <t>Ново-Иркутская ТЭЦ
Иркутская область, г. Иркутск</t>
  </si>
  <si>
    <t>9</t>
  </si>
  <si>
    <t>9.1</t>
  </si>
  <si>
    <t>Реконструкция схемы СН 2 очереди с заменой ТСР-2 на трансформатор ТРДНС-40000/220/6,3</t>
  </si>
  <si>
    <t>Реконструкция ДЗШТ-220 кВ с заменой на микропроцессорные</t>
  </si>
  <si>
    <t>9.2</t>
  </si>
  <si>
    <t>ПАО «Иркутскэнерго»
664025, г. Иркутск, ул. Сухэ-Батора,3
Генеральный директор Причко О.Н. 
Филиал ПАО "Иркутскэнерго" Ново-Иркутская ТЭЦ   
664043, Иркутская область, г. Иркутск, бульвар Рябикова, 67. Тел.(395-2) 795-309
Директор филиала Матлашевский Юрий Афанасьевич</t>
  </si>
  <si>
    <t>12</t>
  </si>
  <si>
    <t>13</t>
  </si>
  <si>
    <t>ПС "Тайшет-2" 500 кВ (Озерная) Расширение ПС в части подключения ВЛ 500кВ  от ПС "Ангара" до ПС "Тайшет-2" 500 кВ (Озерная) 
г. Тайшет, Иркутской области</t>
  </si>
  <si>
    <t>Турбогенератор станции №6</t>
  </si>
  <si>
    <t>9.3</t>
  </si>
  <si>
    <t xml:space="preserve">050000/2013-а
0490/2013-э-в
0491/2013-э-в
0499/2013-э-в
0569/2015-э-в
</t>
  </si>
  <si>
    <t>Строительно-монтажные, пусконаладочные работы и поставка оборудования</t>
  </si>
  <si>
    <t xml:space="preserve">1-13 НИТЭЦ от 16.05.13
</t>
  </si>
  <si>
    <t>1-14 НИ/ГЭМ от 28.04.14</t>
  </si>
  <si>
    <t>Строительно-монтажные работы</t>
  </si>
  <si>
    <t xml:space="preserve"> Поставка оборудования, демонтажные, строительно-монтажные  и пусконаладочные работы Демонтаж сетей 0,4-10 кВ в п. Кеуль.</t>
  </si>
  <si>
    <t>Замена АТ-1  с 63 на 125 МВА</t>
  </si>
  <si>
    <t>16 от 24.08.12</t>
  </si>
  <si>
    <t>Замена вводов на ПС 220/110/10 кВ "Заводская".
На ПС "Опорная" - замена вводов, аккумуляторных батарей (АБ), зарядно-выпрямительных устройств (2 шт).</t>
  </si>
  <si>
    <t>11 от 22.04.13
17 от 31.05.13</t>
  </si>
  <si>
    <t>30.09.2014</t>
  </si>
  <si>
    <t>Строительно-монтажные, пусконаладочные работы</t>
  </si>
  <si>
    <t>Районные электрические сети (РЭС-2)
Установка дуговых защит РП.
 г. Усть-Илимск, Иркутская область</t>
  </si>
  <si>
    <t>51 от 04.09.13</t>
  </si>
  <si>
    <t>ПС 35/10 " Большеокинск", ПС35/10 "Калтук",  ПС 35/10 "Кардой",  ПС35/10 "Новая Коршуниха", ПС35/10 "Заморский", ПС35/10 "Дальний 2" 
Реконструкция ПС  
Иркутская  обл.</t>
  </si>
  <si>
    <t>Реконструкция телемеханики на ПС СЭС</t>
  </si>
  <si>
    <t>81 от 18.02.14</t>
  </si>
  <si>
    <t xml:space="preserve">Замена вводов, аккумуляторных батарей (АБ), зарядно-выпрямительных устройств. Строительно-монтажные, пусконаладочные работы.
Ремонт оборудования.
</t>
  </si>
  <si>
    <t>91 от 03.06.14
15р-2015об от 29.05.15</t>
  </si>
  <si>
    <t>Строительно-монтажные, пусконаладочные работы.</t>
  </si>
  <si>
    <t>03-2015-ОКС-ц от 15.10.15</t>
  </si>
  <si>
    <t>18 от 30.06.10</t>
  </si>
  <si>
    <t>06.2010</t>
  </si>
  <si>
    <t xml:space="preserve">ПС 220/110/35/10 кВ "Байкальская" 
Реконструкция ПС
г. Иркутск
</t>
  </si>
  <si>
    <t>Реконструкция ПС 220/110/35/10 кВ "Байкальская"  (I этап)</t>
  </si>
  <si>
    <t>14</t>
  </si>
  <si>
    <t>15</t>
  </si>
  <si>
    <t>16</t>
  </si>
  <si>
    <t>17</t>
  </si>
  <si>
    <t>18</t>
  </si>
  <si>
    <t>19</t>
  </si>
  <si>
    <t>20</t>
  </si>
  <si>
    <t>20.1</t>
  </si>
  <si>
    <t>20.2</t>
  </si>
  <si>
    <t>12/2011 от 01.06.11</t>
  </si>
  <si>
    <t>ОАО «Иркутская электросетевая компания»
664033, г. Иркутск, ул. Лермонтова 257,
Тел: (3952) 792-459 
Факс: (3952) 792-461
Генеральный директор Б.Н. Каратаев
Южные электрические сети
Директор филиала ЮЭС А.Л. Прошутинский  664056, г. Иркутск, ул. Безбокова, 38
Тел./факс.: (3952) 793-203</t>
  </si>
  <si>
    <t>21</t>
  </si>
  <si>
    <t xml:space="preserve">Реконструкция ПС 220/110/35/10 кВ "Байкальская" с переводом ПС-35 кВ Лисиха в РП-10 кВ (1 этап)
</t>
  </si>
  <si>
    <t>Замена оборудования на ОРУ 110 кВ: элегазовые выключатели, трансформаторы тока 110 кВ., замена кабельных линий.</t>
  </si>
  <si>
    <t>ПС 110/6 кВ "Знаменская" 
Иркутская обл.
Расширение и реконструкция ПС</t>
  </si>
  <si>
    <t xml:space="preserve">ПС 110/10 кВ "Пивзавод"
Иркутская обл.
Расширение и реконструкция ПС </t>
  </si>
  <si>
    <t>22</t>
  </si>
  <si>
    <t xml:space="preserve">Такелаж трансформаторов </t>
  </si>
  <si>
    <t>07.2011</t>
  </si>
  <si>
    <t>10/2011 от 03.05.11</t>
  </si>
  <si>
    <t>30 от 05.07.11</t>
  </si>
  <si>
    <t xml:space="preserve">ПС 110/6 кВ "Рудная"
Иркутская обл.   
Реконструкция ПС            </t>
  </si>
  <si>
    <t xml:space="preserve">Замена выключателей 110кВ на элегазовые </t>
  </si>
  <si>
    <t xml:space="preserve">ПС 220/10/10 кВ "Бытовая" 
Иркутская обл.
Реконструкция ПС    </t>
  </si>
  <si>
    <t>23</t>
  </si>
  <si>
    <t>24</t>
  </si>
  <si>
    <t>24.1</t>
  </si>
  <si>
    <t xml:space="preserve">Замена выключателей 220кВ на элегазовые </t>
  </si>
  <si>
    <t>Замена аккумуляторных батарей</t>
  </si>
  <si>
    <t>24.2</t>
  </si>
  <si>
    <t>Строительно-монтажные и пусконаладочные  работы</t>
  </si>
  <si>
    <t>1-ЮЭС-2012(АБК) от 20.06.12</t>
  </si>
  <si>
    <t>2-ЮЭС-2012(В) от 30.03.12</t>
  </si>
  <si>
    <t>1-ЮЭС-2012(В) от 30.03.12</t>
  </si>
  <si>
    <t xml:space="preserve">ПС 220 кВ "Правобережная" 
Иркутская обл.
Реконструкция ПС    </t>
  </si>
  <si>
    <t>02.2013</t>
  </si>
  <si>
    <t>Строительно-монтажные и пусконаладочные  работы по замене аккумуляторных батарей</t>
  </si>
  <si>
    <t>1-ЮЭС-2013(АБК) от 27.02.13</t>
  </si>
  <si>
    <t>Реконструкция ОРУ-110 кВ. Монтаж оборудования 110 кВ: Такелаж и монтаж трансформатора 110 кВ. элегазовые выключатели, разъединители, измерительные трансформаторы. Монтаж гибкой ошиновки, кабельных линий и металлоконструкций. Выполнение общестроительных и пусконаладочных работ.</t>
  </si>
  <si>
    <t>Транспортировка к месту ремонта, ремонт и такелаж трансформатора ТДТН 25000/110 (промплощадка разреза Азейский - ПС500 Тулун)</t>
  </si>
  <si>
    <t xml:space="preserve">Промплощадка разреза Азейский - ПС500 Тулун
Иркутская обл. 
Транспортировка, такелаж и ремонт трансформатора ТДТН 25000/110  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</si>
  <si>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пер.Энергетиков 6. 
Директор Коваленко Э.А.</t>
  </si>
  <si>
    <t>25</t>
  </si>
  <si>
    <t>27</t>
  </si>
  <si>
    <t>28</t>
  </si>
  <si>
    <t>29</t>
  </si>
  <si>
    <t>Монтаж автотрансформатора ТЗС (АТ-3)</t>
  </si>
  <si>
    <t>08.2010</t>
  </si>
  <si>
    <t>445С001С691 от 19.09.11</t>
  </si>
  <si>
    <t>445С001С660 от 12.08.10</t>
  </si>
  <si>
    <t>445С001С671 от 07.02.10</t>
  </si>
  <si>
    <t>ОРУ-220 кВ</t>
  </si>
  <si>
    <t>ОРУ-500 кВ</t>
  </si>
  <si>
    <t>Монтаж электрооборудования ОРУ-500 кВ (элегазовые колонковые выключатели, разъединители, измерительные трансформаторы, монтаж гибкой и жесткой ошиновки), кабельных линий, шкафного оборудования, металлоконструкций и т.д.</t>
  </si>
  <si>
    <t>Монтаж электрооборудования ОРУ-220 кВ (элегазовые колонковые выключатели, разъединители, измерительные трансформаторы, монтаж гибкой и жесткой ошиновки), кабельных линий, шкафного оборудования, металлоконструкций и т.д.</t>
  </si>
  <si>
    <t>30</t>
  </si>
  <si>
    <t>445С001С683 от 01.06.11</t>
  </si>
  <si>
    <t>Монтаж электрооборудования ОРУ-220 кВ (выключатели, разъединители, монтаж ошиновки), кабельных линий, шкафного оборудования, металлоконструкций. Пусконаладочные работы.</t>
  </si>
  <si>
    <t>31</t>
  </si>
  <si>
    <t>Электромонтажные работы и пусконаладочные работы</t>
  </si>
  <si>
    <t>017-763-11 от 26.04.11
017-2030-11 от 01.12.11</t>
  </si>
  <si>
    <t>Реализация проектов "Строительство хвойной линии";  "Строительство пресспата сушильной машины"</t>
  </si>
  <si>
    <t>31.1</t>
  </si>
  <si>
    <t>31.2</t>
  </si>
  <si>
    <t>017-521-11 от 05.04.11</t>
  </si>
  <si>
    <t>Кабельная трасса от ТЭЦ-6 до РП-11</t>
  </si>
  <si>
    <t>Реализация проекта "Реконструкция объектов подготовки, хранения и подачи КДО на утилизацию". II ПК</t>
  </si>
  <si>
    <t>017-1404-11 от 01.07.11</t>
  </si>
  <si>
    <t>017-2178-11 от 18.11.11</t>
  </si>
  <si>
    <t>Реализация проекта "Реконструкция целлюлозного производства. Управление стратегическими проектами"</t>
  </si>
  <si>
    <t>Транспортировка стрелы крана, парового барабана котла, фермы каркаса.</t>
  </si>
  <si>
    <t>31.3</t>
  </si>
  <si>
    <t>Монтаж электротехнического оборудования для СРК-14 и Выпарной станции</t>
  </si>
  <si>
    <t>017-934-11 от 01.05.11</t>
  </si>
  <si>
    <t>Электромонтажные и пусконаладочные работы по ликвидации последствий аварии после падения крана БК-1000 Б.</t>
  </si>
  <si>
    <t>Электромонтажные и пусконаладочные работы</t>
  </si>
  <si>
    <t>ЦС-06у-11-783 от 26.09.11</t>
  </si>
  <si>
    <t>"Реконструкция целлюлозного производства. 1-я очередь строительства. Варочный отдел хвойного потока. Отдел промывки, сортирования и кислородной делигнификации хвойного потока. Отбельный отдел хвойного потока"</t>
  </si>
  <si>
    <t>Демонтаж оборудования и кабельной трассы РП-7А и РП-7Б. СМР</t>
  </si>
  <si>
    <t>017-305-12 от 13.02.12</t>
  </si>
  <si>
    <t xml:space="preserve"> "Реконструкция целлюлозного производства. 1-я очередь строительства. Сушильный цех хвойного потока"</t>
  </si>
  <si>
    <t>017-1019-12 от 01.07.12</t>
  </si>
  <si>
    <t>Реализация проекта "Реконструкция целлюлозного производства. 1-я очередь строительства"</t>
  </si>
  <si>
    <t xml:space="preserve">Электромонтажные работы по устройству временного освещения </t>
  </si>
  <si>
    <t>Монтаж силового электрооборудования,  КИПиА, кабельно-проводниковой продукции и  вспомогательных материалов в зоне сушильного цеха. Электромонтажные и пусконаладочные работы</t>
  </si>
  <si>
    <t>ЦС-07у-12/942 от 07.08.12</t>
  </si>
  <si>
    <t>Реализация проекта "Реконструкция турбинного отделения КТС ТЭС-3 с установкой двух противодавленческих турбин с давлением острого пара 90 бар"</t>
  </si>
  <si>
    <t>Электромонтажные и пусконаладочные работы электрической системы 6 кВ главного распределительного устройства</t>
  </si>
  <si>
    <t>017-766-13 от 13.06.13</t>
  </si>
  <si>
    <t xml:space="preserve"> СРК-14 и Выпарной цех</t>
  </si>
  <si>
    <t xml:space="preserve">Электромонтажные и пусконаладочные работы </t>
  </si>
  <si>
    <t>017-842-13 от 01.02.13</t>
  </si>
  <si>
    <t>"Реконструкция целлюлозного производства. 1-я очередь строительства. Сушильный отдел хвойного потока. Упаковочное отделение хвойного потока".</t>
  </si>
  <si>
    <t>"Реконструкция целлюлозного производства. 1-я очередь строительства. Сушильный отдел хвойного потока".</t>
  </si>
  <si>
    <t>017-1195-13 от 15.02.13</t>
  </si>
  <si>
    <t>Работы по монтажу электрооборудования.</t>
  </si>
  <si>
    <t>05.2013</t>
  </si>
  <si>
    <t>Комплекс монтажных и пусконаладочных работ</t>
  </si>
  <si>
    <t>017-1088-13 от 31.01.13</t>
  </si>
  <si>
    <t>"Реконструкция целлюлозного производства. 1-я очередь строительства. ЦКРИ".</t>
  </si>
  <si>
    <t>Монтажные работы по прокладке кабеля и работы по испытанию и определению повреждений кабеля 6 кВ на РП 23</t>
  </si>
  <si>
    <t>017-1557-13 от 10.12.13</t>
  </si>
  <si>
    <t>017-1426-13 от 11.11.13</t>
  </si>
  <si>
    <t>РП-16 цеха электроснабжения (ЦЭС)</t>
  </si>
  <si>
    <t>017-1315-13 от 09.10.13</t>
  </si>
  <si>
    <t>Реконструкция ЦП. 1-я очередь строительства. Варочный отдел хвойного потока. Отдел промывки, сортировки и кислородной делигнификации хвойного потока. Отбельный отдел хвойного потока.</t>
  </si>
  <si>
    <t>Электромонтажные работы</t>
  </si>
  <si>
    <t>01.05.2013</t>
  </si>
  <si>
    <t>30.11.2013</t>
  </si>
  <si>
    <t xml:space="preserve"> Реконструкция ЦП.1-я очередь строительства. Технологическая станция СРК-12.</t>
  </si>
  <si>
    <t>Работы по монтажу силового электрооборудования и пусконаладочные работы</t>
  </si>
  <si>
    <t>017-1521-13 от 01.04.13</t>
  </si>
  <si>
    <t>017-1729-13 от 01.12.13</t>
  </si>
  <si>
    <t>Пусконаладочные работы шинопроводов 3,4 и РП-7А, 7Б</t>
  </si>
  <si>
    <t>017-1497-13 от 22.11.13</t>
  </si>
  <si>
    <t>Электромонтажные работы реконструкции шинопроводов 3,4 РП-7А, РП-7Б</t>
  </si>
  <si>
    <t>01.2014</t>
  </si>
  <si>
    <t>Реконструкция турбинного отделения КТЦ ТЭС-3 с установкой двух противодавленческих турбин с давлением острого пара 90 бар</t>
  </si>
  <si>
    <t>017-315-14 от 03.03.14</t>
  </si>
  <si>
    <t>05.2014</t>
  </si>
  <si>
    <t>Пусконаладочные работы по шкафам защиты минимального напряжения распределительных устройств РП-7А, РП-7Б</t>
  </si>
  <si>
    <t>017-422-14 от 31.03.14</t>
  </si>
  <si>
    <t>Станция№1 для выпаривания черного щелока; турбинный цехТЭС-3; насосная станция 2 подъема; ХВО-1; СЦ ПЛЦ; ВОЦ ПЛЦ</t>
  </si>
  <si>
    <t>Работы по замене кабельных трасс</t>
  </si>
  <si>
    <t>017-645-14 от 01.04.14</t>
  </si>
  <si>
    <t>Реконструкция ЦП, 1-я очередь строительства. Техническое перевооружение ЦКРИ</t>
  </si>
  <si>
    <t>017-1336-14 от 26.11.14</t>
  </si>
  <si>
    <t>03.2015</t>
  </si>
  <si>
    <t>017-066-15 от 03.02.2015</t>
  </si>
  <si>
    <t>Работы по ликвидации последствий после падения крана SKR-3500: ЭМР по временному восстановлению шинопроводов №3,4</t>
  </si>
  <si>
    <t>017-1227-14 от 26.11.14</t>
  </si>
  <si>
    <t>Работы по ликвидации последствий после падения крана SKR-3500: ЭМР по полному восстановлению шинопроводов №3,4</t>
  </si>
  <si>
    <t>017-283-15 от 05.03.2015</t>
  </si>
  <si>
    <t>Реализация проекта "Приведение кабельного туннеля в соответствие  нормам и правилам"</t>
  </si>
  <si>
    <t>Реализация проекта "Строительство отдела разложения сульфатного мыла" (ОРСМ)</t>
  </si>
  <si>
    <t>017-1116-15 от 25.06.2015</t>
  </si>
  <si>
    <t xml:space="preserve">Электромонтажные и пусконаладочные работы  по выносу кабелей 6 кВ из кабельного тоннеля ЦЭС под землей от ХВО </t>
  </si>
  <si>
    <t>Реализация проекта "Приобретение силового трансформатора  ТРДЦН-80/110" ЦЭС ХП</t>
  </si>
  <si>
    <t>Демонтаж головного трансформатора Т-2, перевозка трансформатора с ГПП-3 до площадки хранения, реконструкция маслоприемника головного трансформатора Т-2, перевозка трансформатора с ж/д тупика, монтаж и пусконаладочные  работы головного трансформатора Т-2.</t>
  </si>
  <si>
    <t>03.2016</t>
  </si>
  <si>
    <t>017-1859-15 от 24.11.2015</t>
  </si>
  <si>
    <t>017-1906-15 от 27.11.15</t>
  </si>
  <si>
    <t>Реализация проекта "Перенос ПОУ 13/4 с аварийного здания в ТО ТЭС-2"</t>
  </si>
  <si>
    <t>Электромонтажные и пусконаладочные работы по установке трансформаторной подстанции мазутонасосного хозяйства</t>
  </si>
  <si>
    <t>Монтаж кабелей управления и сигнализации РЗиА.
Монтаж кабельных конструкций. Кабельное хозяйство в главном корпусе.
Заземление машинного отделения в главном корпусе.
Монтаж Электрооборудования. Выводы генератора. Приобретение электрооборудования.
Монтаж кабелей управления и сигнализации РЗиА.
Монтаж вторичной коммутации элементов главной схемы, собственных нужд, электрооборудования тиристорной системы возбуждения.
Внедрение полномасштабной АСУ ТП.</t>
  </si>
  <si>
    <t xml:space="preserve">Изготовление и монтаж металлоконструкций, порталов, устройство монолитных ж/б фундаментов. Такелаж и монтаж ВПТ АТ-1, АТ-2; 
монтаж КРУН-10кВ (36 ячеек), кабельных линий и их присоединение, реакторов 10 кВ, разъединителей 110 кВ, шкафов защит и автоматики, контура заземления.  Демонтаж, монтаж порталов и шинных мостов, ТТ-220кВ, вводов220 кВ. 
Пусконаладочные работы. </t>
  </si>
  <si>
    <t>Демонтаж, монтаж кабельных металлоконструкций, электроосвещения, электросилового оборудования, троллейных шинопроводов, низковольтных и высоковольтных ячеек, трансформаторов. Монтажные работы по электрооборудованию кранов, монтаж высоковольтного кабеля, концевых и соединительных муфт. Пусконаладочные работы.</t>
  </si>
  <si>
    <t>Электромонтажные работы  на ленточном конвейере 15-16</t>
  </si>
  <si>
    <t>Работы по замене масляных выключателей 6 кВ на элегазовые</t>
  </si>
  <si>
    <t>Реконструкция ЦП. 1-я очередь строительства. Отбельный цех ХП. Отдел промывки, сортировки и кислородной делигнификации.</t>
  </si>
  <si>
    <t xml:space="preserve">Отделение галереи шинопроводов 3,4  </t>
  </si>
  <si>
    <t>32</t>
  </si>
  <si>
    <t xml:space="preserve">КРУЭ 500кВ СПК
КРУЭ 220кВ СПК
</t>
  </si>
  <si>
    <t xml:space="preserve">Монтаж кабельных линий XLPE 500 кВ и 220кВ сечением 800 мм2, включая монтаж концевых муфт (производство SUEDKABEL, Германия). </t>
  </si>
  <si>
    <t>BGP024-СП от 27.12.11</t>
  </si>
  <si>
    <t xml:space="preserve">ПС 500/110/35кВ Тайшет.
Расширение и реконструкция ПС. 
г. Тайшет, Иркутской области </t>
  </si>
  <si>
    <t xml:space="preserve">ПС 500/220/35кВ Озерная.
Строительство ПС.
г. Тайшет, Иркутской области </t>
  </si>
  <si>
    <t>Монтаж электрооборудования (шкафы ПР).
Электромонтажные работы по электроосвещению</t>
  </si>
  <si>
    <t>ЛДК/18-06/11-Пд от 21.06.11
ЛДК/27-06/11-Пд от 27.06.11</t>
  </si>
  <si>
    <t>13/10 от 11.02.10</t>
  </si>
  <si>
    <t>33</t>
  </si>
  <si>
    <t>Такелажная разгрузка с железнодорожного транспорта, погрузка такелажным способом и последующая транспортировка 10 печных трансформаторов</t>
  </si>
  <si>
    <t>ООО "БЗФ"
 665716, Россия, Иркутская обл., г. Братск, П 01 11 01 00 Тел: (3953) 49-59-01
Управляющий директор В.Г. Прокопец</t>
  </si>
  <si>
    <t>ООО "БЗФ"
 665716, Россия, Иркутская обл., г. Братск, П 01 11 01 00 Тел: (3953) 49-59-01
Управляющий директор В.Г. Прокопец
Генподрядчик ООО "СМК"
665726, Иркутская обл., г. Братск, 
ул. Обручева 37-26</t>
  </si>
  <si>
    <t>Ремонтные и пусконаладочные работы по замене ввода 220 кВ ф.С на ОВ-2-220, ШОН на ВЛ 220кВ ЩБЦ-269</t>
  </si>
  <si>
    <t xml:space="preserve">ПС 500/110/35кВ Тайшет.
Расширение и реконструкция ПС. 
ПС 500/220/35кВ Озерная.
Строительство ПС. 
БПП 500 кВ. 
Реконструкция 
ПС 500 кВ Камала
Реконструкция </t>
  </si>
  <si>
    <t>Строительно-монтажные работы в части оборудования связи</t>
  </si>
  <si>
    <t>ПС 500/110/35кВ Тайшет.
Расширение и реконструкция ПС.</t>
  </si>
  <si>
    <t>Электромонтажные   работы по системе АСКУЭ яч.№ 11W5С (504)</t>
  </si>
  <si>
    <t>616-201/И-12/12(14) от 01.09.12</t>
  </si>
  <si>
    <t>27/2011 от 01.03.11</t>
  </si>
  <si>
    <t>201 от 28.06.12
251 от 20.08.12</t>
  </si>
  <si>
    <t>Такелажная разгрузка с железнодорожного транспорта, погрузка такелажным способом и последующая транспортировка и установка на площадке хранения трансформатора ТРДН 80000/110</t>
  </si>
  <si>
    <t>Капитальный ремонт агрегата трансформаторного ЭОЦНК 21000/10-83 УХЛ (2 шт)</t>
  </si>
  <si>
    <t>17/ЗЭС от 07.02.13</t>
  </si>
  <si>
    <t xml:space="preserve">Разгрузка и консервация трансформаторов КПП-1, КПП-2, ГПП, монтаж резервуаров склада масла </t>
  </si>
  <si>
    <t>446001С126 от 31.10.2008</t>
  </si>
  <si>
    <t>10.2008</t>
  </si>
  <si>
    <t xml:space="preserve">Строительно-монтажные и пусконаладочные  работы по замене  масляных выключателей МВ-110, ОМВ-110, МКП-110 на элегазовые выключатели типа 3АР1 DT производства Siemens, Германия в ОРУ-110 кВ
</t>
  </si>
  <si>
    <t>ЗАО "Богучанский Алюминиевый Завод"
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
Ген. директор Шалак Г.Н.</t>
  </si>
  <si>
    <t>Разгрузка преобразовательно-регулировочных трансформаторов Alstom</t>
  </si>
  <si>
    <t>508С001Р370 от 07.06.12</t>
  </si>
  <si>
    <t>КРУЭ 220 кВ, КПП1, ГПП</t>
  </si>
  <si>
    <t>508С001С205 от 18.12.12</t>
  </si>
  <si>
    <t>Цех ремонта и чистки ковшей</t>
  </si>
  <si>
    <t>508С001С296 от 08.05.13</t>
  </si>
  <si>
    <t xml:space="preserve">Строительно-монтажные работы по объекту: "Телеканалы ВЛ-500кВ" 
-Монтаж оборудования, демонтаж-монтаж кабельных связей.
</t>
  </si>
  <si>
    <t>БПП 500 кВ. 
Реконструкция 
Телеканалы ВЛ-500кВ
п. Турма, Иркутская обл.</t>
  </si>
  <si>
    <t>72/2013 от 20.05.13</t>
  </si>
  <si>
    <t>53/13 от 06.06.13</t>
  </si>
  <si>
    <t>ПС 500 кВ "Ангара" 
Красноярский край</t>
  </si>
  <si>
    <t>97/13 от 18.09.13</t>
  </si>
  <si>
    <t>Строительно-монтажные и электромонтажные работы по устройству: систем ВЧ-связи ЦСПИ ВОЛС на ПС 500 кВ "Ангара"; 
ЦСПИ ВОЛС на усиленном пункте в п.Тиличеть-II объекта "Расширение подстанции Тайшет-2 (Озерная) в части подключения воздушной линии электропередачи от ПС Ангара до ПС Тайшет-2 (Озерная)"</t>
  </si>
  <si>
    <t>Строительство ПС 220/110/10 кВ «Восточная»:
- монтаж (включая опорные металлоконструкции) основного электротехнического оборудования (220 кВ, 110 кВ и 10 кВ);
- монтаж оборудования систем РЗА, ПА, АИИСКУЭ, АСУТП, систем ВЧ связи, ВОЛС, технологической связи, (включая прокладку силовых и контрольных кабелей);
-монтаж  автотрансформаторов OSFSZ-250000/220/110-УХЛ1 - 2 шт;
-монтаж гибкой и жесткой ошиновки 220кВ, 110кВ;
-поставка оборудования;
- пусконаладочные работы;</t>
  </si>
  <si>
    <t xml:space="preserve">05.2015 </t>
  </si>
  <si>
    <t>60/13 от 06.06.13</t>
  </si>
  <si>
    <t>30 от 10.07.13</t>
  </si>
  <si>
    <t>№ 55 от 13.12.2013</t>
  </si>
  <si>
    <t xml:space="preserve"> ПС 220кВ Кодинская ГПП
ЗРУ2 10кВ
Реконструкция линейных ячеек 10кВ. 
г.Кодинск,  Красноярский край, Кежемский р-н</t>
  </si>
  <si>
    <t>Разработка рабочей документации;
Организация авторского надзора;
Поставка и монтаж линейной ячейки ЗРУ 10кВ. Монтаж кабельно-проводниковой продукции.
Пусконаладочные работы.</t>
  </si>
  <si>
    <t>0489/2012-э-в от 01.08.12</t>
  </si>
  <si>
    <t>ПАО "Камчатскэнерго" 683000 г. Петропавловск-Камчатский 
ул. Набережная 10                    Тел: (4152) 421006, Факс: (4152) 412026
Генеральный директор Кондратьев С.Б.</t>
  </si>
  <si>
    <t>ПС 110/10 кВ "Северная" 
Реконструкция ПС
г. Петропавловск-Камчатский, м-р Северо-Восток,  Камчатский  край</t>
  </si>
  <si>
    <t>Строительно-монтажные, пусконаладочные работы, комплектация оборудованием и материалами, авторский надзор за строительством.</t>
  </si>
  <si>
    <t>10-12/14 от 02.06.14</t>
  </si>
  <si>
    <t>ГП-834 о 24.12.14</t>
  </si>
  <si>
    <t>11.2016</t>
  </si>
  <si>
    <t>Склад глинозема, склад фторсолей и УПСГ в бункер ГОУ1</t>
  </si>
  <si>
    <t xml:space="preserve"> КПП-2</t>
  </si>
  <si>
    <t xml:space="preserve">Работы по обеспечению длительного хранения трансформаторов КПП-2 (консервация регулировочных автотрансформаторов мощностью 148 МВА и преобразовательных трансформаторов
 мощностью 2х74 МВА (производство AREVA, Франция)).
</t>
  </si>
  <si>
    <t>508С001С382 от 24.04.14</t>
  </si>
  <si>
    <t>508С001С361 от 23.01.14</t>
  </si>
  <si>
    <t>Корпус электролиза</t>
  </si>
  <si>
    <t xml:space="preserve">508С001С410 от 16.08.14 </t>
  </si>
  <si>
    <t>08.16</t>
  </si>
  <si>
    <t>Анодно-монтажное отделение</t>
  </si>
  <si>
    <t xml:space="preserve">508С001С415 от 21.08.14 </t>
  </si>
  <si>
    <t xml:space="preserve">508С001С417 от 20.08.14 </t>
  </si>
  <si>
    <t>01.2017</t>
  </si>
  <si>
    <t xml:space="preserve"> Отделение переработки электролита (ОПЭ)-</t>
  </si>
  <si>
    <t>558С001С442 от 28.10.14</t>
  </si>
  <si>
    <t>03.2017</t>
  </si>
  <si>
    <t>9110С284 от 15.10.14</t>
  </si>
  <si>
    <t>Комплекс монтажных и пусконаладочных работ электротехнического оборудования сухой газоочистной установки №42 (СГОУ №42)
(Монтаж РП-7, кабельных сетей, электроосвещение, Измерения и испытания электрооборудования СГОУ №42)</t>
  </si>
  <si>
    <t>Илимхимпром
Ремонтно-восстановительные работы
Промплощадка ОАО "Братсккомплексхолдинг", г. Братск, Иркутская обл.</t>
  </si>
  <si>
    <t>Ремонтно-восстановительные работы электрооборудования ячейки №37 ЗРУ-10 ГПП-3, электрооборудования ячейки КРУ-841 КВЗ-6-13-630 в ЦЭС. Проведение испытаний электрооборудования для выявления дефектов.</t>
  </si>
  <si>
    <t>220-144-14 от 25.07.14</t>
  </si>
  <si>
    <t xml:space="preserve">АО "Илимхимпром" (ЗАО)
665718, Иркутская обл. г. Братск, а/я 488
Генеральный директор 
Журавлева Анастасия Валерьевна 
</t>
  </si>
  <si>
    <t>156 от 19.06.13
231 от 12.09.13</t>
  </si>
  <si>
    <t>230 от 18.08.14
320 от 17.11.14</t>
  </si>
  <si>
    <t>1-СМПР от 17.11.14</t>
  </si>
  <si>
    <t>340 от 08.12.14
176 от 17.08.2015</t>
  </si>
  <si>
    <t>73 от 07.04.15</t>
  </si>
  <si>
    <t xml:space="preserve">ПС 110/10 кВ "Еловка" с ВЛ 110 кВ 
Строительство ПС 
Иркутская обл.,  Ангарский район, поселок городского типа Мегет
</t>
  </si>
  <si>
    <t>69/14 от 09.10.14</t>
  </si>
  <si>
    <t>Строительно-монтажные работы (монтаж ОРУ-110 кВ, двух силовых трансформаторов 110/10 кВ мощностью 25 МВА каждый, двух трансформаторов СН 10/0,4 кВ, ЗРУ-10 кВ, ОПУ, монтаж шкафного оборудования и кабельного хозяйства);
Пусконаладочные работы.
Поставка оборудования.</t>
  </si>
  <si>
    <t>283/16 от 24.03.14</t>
  </si>
  <si>
    <t>ООО "Альстом Грид-Русал электроинжиниринг"               
620017, г. Екатеринбург, пр. Космонавтов, 7                           тел. (343) 310 13 42              
Генеральный директор Ф.Пешу</t>
  </si>
  <si>
    <t>14-AREот01.10.14</t>
  </si>
  <si>
    <t xml:space="preserve">Работы по ремонту регулировочных автотрансформаторов мощностью 148 МВА и преобразовательных трансформаторов 
мощностью 2х74 МВА (производство AREVA, Франция) на КПП. 
Приемо-сдаточные испытания и ПНР оборудования КПП
</t>
  </si>
  <si>
    <t xml:space="preserve">ООО "Энергетический Стандарт" 119180, Москва, ул. Большая Якиманка, д.21
 тел. (499) 286-22-33, 286-22-44
     </t>
  </si>
  <si>
    <t xml:space="preserve">Работы по демонтажу, ревизии активной части с подъемом колокола и монтажу реактора РТУ-180000/500-УХЛ1 зав. №162103, установленном в ячейке 576 </t>
  </si>
  <si>
    <t>128 от 20.01.15</t>
  </si>
  <si>
    <t>ОАО "Группа "Илим" в г. Братске</t>
  </si>
  <si>
    <t>ООО "Инженерный центр "Энергосервис"
г. Архангельск, ул. Котласская, 26
Тел. 65-75-65, 64-60-00
Генеральный директор Флейшман И.Л.</t>
  </si>
  <si>
    <t>АНО "Возрождение"
665708, г. Братск, ж/р Центральный, ул. Мира, 32 
Генеральный директор Васильев А.М.</t>
  </si>
  <si>
    <t>12.2017</t>
  </si>
  <si>
    <t>Электромонтажные работы по установке батарей статических конденсаторов на филиале ОАО "Группа "Илим" в г. Братске</t>
  </si>
  <si>
    <t>Электромонтажные работы  культурно-просветительского центра (Храм)</t>
  </si>
  <si>
    <t>151 от 27.07.15</t>
  </si>
  <si>
    <t>ПС 220 кВ "БЦБК"
Реконструкция ПС
Иркутская обл., Слюдянский район, г. Байкальск</t>
  </si>
  <si>
    <t xml:space="preserve">Строительно-монтажные и пусконаладочные работы по реконструкции устройств релейной защиты и автоматики трансформаторов Т-1, Т-2, Т-3, Т-4, СВ-6 кВ, ВЛ-35 кВ ГПП-А, Б, СВ-35кВ, ТН-1,2-35 кВ, ДЗШ-35 кВ, центральной сигнализации; реконструкцию схемы питания собственных нужд постоянного и переменного тока; установку новой АКБ.
</t>
  </si>
  <si>
    <t>46/2015 от 02.11.15</t>
  </si>
  <si>
    <t>ПС Ново-Зиминская,  БПП 500 кВ 
Реконструкция 
Иркутская обл.</t>
  </si>
  <si>
    <t>Строительно-монтажные работы по реконструкции устройств РЗА ВЛ 500 кВ №560 БПП - ПС Ново-Зиминская на ПС Новозиминская и БПП 500 кВ с реализацией ОАПВ</t>
  </si>
  <si>
    <t xml:space="preserve"> Электромонтажные работы по монтажу системы управления компрессорами высокого и низкого давления инв. №00043203
</t>
  </si>
  <si>
    <r>
      <t xml:space="preserve"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АО "Энергетические технологии"
664033, г. Иркутск, ул. Лермонтова, 130, оф. 110, Тел.: (3952) 423-523
Генеральный директор </t>
    </r>
    <r>
      <rPr>
        <sz val="9"/>
        <rFont val="Times New Roman"/>
        <family val="1"/>
        <charset val="204"/>
      </rPr>
      <t>Черных О.Г.</t>
    </r>
  </si>
  <si>
    <t xml:space="preserve">09.2016
 </t>
  </si>
  <si>
    <t>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
Генподрядчик: ЗАО «ЭК «ЭВАЛИС»
665821, РФ, Иркутская область, г. Ангарск,
ул. Карла Маркса 71
Генеральный директор  Борисов М.В.</t>
  </si>
  <si>
    <t>ПАО «Иркутскэнерго»
664025, г. Иркутск, ул. Сухэ-Батора,3
Генеральный директор Причко О.Н. 
Филиал ПАО "Иркутскэнерго" Иркутская ГЭС 
664056, г. Иркутск, Иркутская ГЭС, а/я 3408
тел.:  (3952)793-859,Факс:  (3952)793-856
Директор филиала Усов С.В.
Генподрядчик: ООО "ЕвроСибЭнерго-инжиниринг" 
 664050,г. Иркутск, ул. Байкальская, д. 259
тел.: (3952) 794-683, факс: (3952) 794-546
Генеральный директор Погосбеков Д.Д.</t>
  </si>
  <si>
    <r>
      <t xml:space="preserve"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</t>
    </r>
    <r>
      <rPr>
        <sz val="9"/>
        <rFont val="Times New Roman"/>
        <family val="1"/>
        <charset val="204"/>
      </rPr>
      <t>Генподрядчик  ООО «ЕвроСибЭнерго-инжиниринг»  
664050,г. Иркутск, ул. Байкальская, д. 259
тел.: (3952) 794-683, факс: (3952) 794-546
Генеральный директор Погосбеков Д.Д.</t>
    </r>
  </si>
  <si>
    <r>
      <t xml:space="preserve">ОАО «Иркутская электросетевая компания»
664033, г. Иркутск, ул. Лермонтова 257,
Тел: (3952) 792-459
Генеральный директор Б.Н. Каратаев
Центральные электрические сети
665812, Иркутская область, г. Ангарск, ул.Б.Хмельницкого, 22, тел.(3955)502740
Директор: Старцев Максим Владимирович
</t>
    </r>
    <r>
      <rPr>
        <sz val="9"/>
        <rFont val="Times New Roman"/>
        <family val="1"/>
        <charset val="204"/>
      </rPr>
      <t>Генподрядчик  ООО «ЕвроСибЭнерго-инжиниринг»
 664050,г. Иркутск, ул. Байкальская, д. 259
тел.: (3952) 794-683, факс: (3952) 794-546
Генеральный директор Погосбеков Д.Д.</t>
    </r>
  </si>
  <si>
    <r>
      <t xml:space="preserve"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</t>
    </r>
    <r>
      <rPr>
        <sz val="9"/>
        <rFont val="Times New Roman"/>
        <family val="1"/>
        <charset val="204"/>
      </rPr>
      <t>Генподрядчик  ООО «ЕвроСибЭнерго-инжиниринг» 
 664050,г. Иркутск, ул. Байкальская, д. 259
тел.: (3952) 794-683, факс: (3952) 794-546
Генеральный директор Погосбеков Д.Д.</t>
    </r>
    <r>
      <rPr>
        <sz val="9"/>
        <color rgb="FFFF0000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Подрядчик: АО "Энергетические технологии"
664033, г. Иркутск, ул. Лермонтова, 130, оф. 110, Тел.: (3952) 423-523
Генеральный директор Черных О.Г.</t>
    </r>
  </si>
  <si>
    <t>КГКУ "Дирекция по комплексному развитию Нижнего Приангарья" (КГКУ "ДКР НП")            660017, г. Красноярск, ул. Урицкого, д. 123,                  тел. (391) 227-81-31, 227-81-53                Генподрядчик  ООО «ЕвроСибЭнерго-инжиниринг» 
 664050,г. Иркутск, ул. Байкальская, д. 259
тел.: (3952) 794-683, факс: (3952) 794-546
Генеральный директор Погосбеков Д.Д.</t>
  </si>
  <si>
    <t xml:space="preserve">
ПАО «Богучанская ГЭС» в лице АО «Организатор строительства Богучанской ГЭС» 663491, г. Кодинск, стройбаза левого берега. Зд. 1, объединённая база №1, а/я 29, Тел.(39143)7-13-40, Факс (39143) 7-13-39 
Генеральный директор Чернявский С.Ю.</t>
  </si>
  <si>
    <t>BGC 166 от 21.11.08</t>
  </si>
  <si>
    <t>текущее время  
(98% на 01.2017 )</t>
  </si>
  <si>
    <t xml:space="preserve">BGC 078 от 06.09.10 </t>
  </si>
  <si>
    <t>текущее время  
(99% на 01.2017 )</t>
  </si>
  <si>
    <t>текущее время  
(99,7% на 01.2017 )</t>
  </si>
  <si>
    <t>BGC 081 от 10.08.11</t>
  </si>
  <si>
    <t>BGC 378 от 22.04.15</t>
  </si>
  <si>
    <t>текущее время  
(45% на 01.2017 )</t>
  </si>
  <si>
    <t xml:space="preserve">BGC 366 от 12.05.15 </t>
  </si>
  <si>
    <t>текущее время  
(93% на 01.2017 )</t>
  </si>
  <si>
    <t>ПАО «Богучанская ГЭС» в лице АО «Организатор строительства Богучанской ГЭС»
 663491, г. Кодинск, стройбаза левого берега. Зд. 1, объединённая база №1, а/я 29, Тел.(39143)7-13-40, Факс (39143) 7-13-39 
Генеральный директор Чернявский С.Ю.
Генподрядчик: ЗАО «Электротехническая компания», 614111, Пермский край, г. Пермь, ул. Солдатова, 29/2   Тел./ф. (342)242-00-00, Генеральный директор Потанин В.А.</t>
  </si>
  <si>
    <t>4.18</t>
  </si>
  <si>
    <t>Строительно-монтажные   работы по замене ЩПТ-5 с аккумуляторной батареей</t>
  </si>
  <si>
    <t>Монтаж частотного регулирования ЛК-1. Замена светильников приводных и натяжных станций ЛК</t>
  </si>
  <si>
    <t xml:space="preserve">ОАО «Иркутская электросетевая компания» 664033, г. Иркутск, ул. Лермонтова 257, Тел: (3952) 792-459 Факс: (3952) 792-461 
Генеральный директор Каратаев Б.Н.
Северные электрические сети
Директор филиала СЭС Ковалёв П.В.
665709, Иркутская область, г. Братск, а/я 786 
Тел. (3953) 33-17-27, </t>
  </si>
  <si>
    <t xml:space="preserve">ПС-110/6 кВ "Верхнемарково" с отпайкой ВЛ-110 кВ
Строительство ПС.
Иркутская обл., Усть-Кутский р-н, п. Верхнемарково
</t>
  </si>
  <si>
    <t>ПС 110/10 кВ "Северная" 
Реконструкция ПС
г.Братск, Иркутская обл.</t>
  </si>
  <si>
    <t>ПС 220/110/35/6 кВ "Коршуниха", ПС "Н-Коршуниха", Седановский ПП
Реконструкция   
Иркутская обл.</t>
  </si>
  <si>
    <t>ОАО "СУАЛ"
623406 Свердловская обл., г. Каменск-Уральский, ул.Заводская,10
Филиал «ИркАЗ-СУАЛ» ОАО "СУАЛ"
 666034, г. Шелехов ул. Индустриальная,4
Тел. (39510) 9-42-13 
Генеральный директор Гринберг И.С.</t>
  </si>
  <si>
    <t xml:space="preserve">ПС 220/10 кВ "Шелехово"
г.Шелехово, Иркутская обл. Реконструкция ПС   </t>
  </si>
  <si>
    <t xml:space="preserve">ПС 500/220 "Шелеховская" (Ключи) г.Шелехово, Иркутская обл. Реконструкция ПС   </t>
  </si>
  <si>
    <t>34.1</t>
  </si>
  <si>
    <t>34.2</t>
  </si>
  <si>
    <t>35</t>
  </si>
  <si>
    <t>Комплекс работ  по строительству объекта:
 "Расширение ПС 500 кВ Озерная в части подключения ВЛ 500 кВ Богучанская ГЭС-Озерная" по титулу "ВЛ 500кВ Богучанская ГЭС - Озерная" (Установка УШР, ОРУ 500кВ с жесткой ошиновкой, релейная защита, управление и автоматика, ВЧ-связь, ВОЛС,  АИИСКУЭ, АСУТП, видеонаблюдение)</t>
  </si>
  <si>
    <t>36</t>
  </si>
  <si>
    <t>37</t>
  </si>
  <si>
    <t>38</t>
  </si>
  <si>
    <t>39</t>
  </si>
  <si>
    <t>ПАО «Иркутскэнерго»
664025, г. Иркутск, ул. Сухэ-Батора,3
Генеральный директор Причко О.Н. 
Филиал ПАО "Иркутскэнерго" Ново-Иркутская ТЭЦ   
664043, Иркутская область, г. Иркутск, бульвар Рябикова, 67. Тел.(395-2) 795-309
Директор филиала Матлашевский Ю.А.
Генподрядчик: ООО «ЕвроСибЭнерго-инжиниринг»  
 664050,г. Иркутск, ул. Байкальская, д. 259
тел.: (3952) 794-683, факс: (3952) 794-546
Генеральный директор Погосбеков Д.Д.
Подрядчик: АО "Иркутскэнергоремонт" 
664050, г. Иркутск, ул. Байкальская 259, а/я 370, тел.(3952) 794-652 
Генеральный директор Ганжа О.В.</t>
  </si>
  <si>
    <t>КГКУ "Дирекция по комплексному развитию Нижнего Приангарья" (КГКУ "ДКР НП")                660017, г. Красноярск, ул. Урицкого, д. 123,                 тел. (391) 227-81-31, факс: (391)227-81-53 
Генподрядчик: ООО «ЕвроСибЭнерго-инжиниринг»  
 664050, г. Иркутск, ул. Байкальская, д. 259
тел.: (3952) 794-683, факс: (3952) 794-546
Генеральный директор Погосбеков Д.Д.
Подрядчик: АО "Иркутскэнергоремонт" 
664050, г. Иркутск, ул. Байкальская 259, а/я 370, тел.(3952) 794-652 
Генеральный директор Ганжа О.В.</t>
  </si>
  <si>
    <t>40</t>
  </si>
  <si>
    <t>41</t>
  </si>
  <si>
    <t>42</t>
  </si>
  <si>
    <t>43</t>
  </si>
  <si>
    <r>
      <t xml:space="preserve">ОАО «Иркутская электросетевая компания»
664033, г. Иркутск, ул. Лермонтова 257,
Тел: (3952) 792-459
Генеральный директор Б.Н. Каратаев
</t>
    </r>
    <r>
      <rPr>
        <sz val="9"/>
        <rFont val="Times New Roman"/>
        <family val="1"/>
        <charset val="204"/>
      </rPr>
      <t>Генподрядчик  ООО «ЕвроСибЭнерго-инжиниринг» 
 664050,г. Иркутск, ул. Байкальская, д. 259
тел.: (3952) 794-683, факс: (3952) 794-546
Генеральный директор Погосбеков Д.Д.</t>
    </r>
    <r>
      <rPr>
        <sz val="9"/>
        <color rgb="FFFF0000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>Подрядчик ООО "Инженерный центр "Иркутскэнерго",
г. Иркутск, б-р Рябикова 67, 
Тел. (3952) 790-711, Факс (3952) 790-742 
Директор Моисеев Т.В.</t>
    </r>
  </si>
  <si>
    <t>44</t>
  </si>
  <si>
    <t>45.1</t>
  </si>
  <si>
    <t>45.2</t>
  </si>
  <si>
    <t>46</t>
  </si>
  <si>
    <t>47</t>
  </si>
  <si>
    <t>48</t>
  </si>
  <si>
    <t xml:space="preserve">ПАО «ФСК ЕЭС» 117630, г. Москва, ул. Академика Челомея, д.5А. 
Филиал ПАО «ФСК ЕЭС»- ОАО "ЦИУС ЕЭС"-ЦИУС Сибири.
660099, Красноярский край, г. Красноярск, ул. Горького, д.3А, тел. (391) 274-67-00 </t>
  </si>
  <si>
    <t>49</t>
  </si>
  <si>
    <t>ООО "РУСАЛ Тайшетский Алюминиевый Завод"
РФ, 665023, Иркутская обл., Тайшетский р-н, с.Старый Окульшет, ул.Советская, д.41  Генеральный директор Голов А.С.</t>
  </si>
  <si>
    <t>Тайшетский Алюминиевый Завод  Иркутская область, Тайшетский район, село Старый Акульшет, территория Промпл. Тайшетского Алюминиевого завода</t>
  </si>
  <si>
    <r>
      <t xml:space="preserve">ПАО "РУСАЛ Братский Алюминиевый Завод" 665716, Иркутская область, г.Братск-16
Тел. (3953) 49-26-50
</t>
    </r>
    <r>
      <rPr>
        <sz val="9"/>
        <rFont val="Times New Roman"/>
        <family val="1"/>
        <charset val="204"/>
      </rPr>
      <t>Управляющий директор – Евгений Юрьевич Зенкин</t>
    </r>
  </si>
  <si>
    <t>50</t>
  </si>
  <si>
    <t>51</t>
  </si>
  <si>
    <t>52</t>
  </si>
  <si>
    <t>52.1</t>
  </si>
  <si>
    <t>52.2</t>
  </si>
  <si>
    <t>52.3</t>
  </si>
  <si>
    <t>52.4</t>
  </si>
  <si>
    <t>52.5</t>
  </si>
  <si>
    <t>52.6</t>
  </si>
  <si>
    <t>52.7</t>
  </si>
  <si>
    <t>52.8</t>
  </si>
  <si>
    <t>52.9</t>
  </si>
  <si>
    <t xml:space="preserve">Монтаж электрооборудования и электроосвещения объектов транспорта сырья
 </t>
  </si>
  <si>
    <t xml:space="preserve">Монтаж силового электрооборудования, устройство электроосвещения, общестроительные и пусконаладочные работы
</t>
  </si>
  <si>
    <t xml:space="preserve">Монтаж электрооборудования, электроосвещения и АСУТП АМО
</t>
  </si>
  <si>
    <t xml:space="preserve">Работы по монтажу технологического оборудования Анодно-монтажного отделения (АМО):
- монтаж системы отопления; 
- монтаж системы вентиляции и аспирации; 
- монтаж системы воздухоснабжения; 
- монтаж трубопроводов подачи аргона.
</t>
  </si>
  <si>
    <t xml:space="preserve">Монтаж внутренних промышленных трубопроводов, водопроводов и канализации, отопления и вентиляции
</t>
  </si>
  <si>
    <t>53</t>
  </si>
  <si>
    <t>53.1</t>
  </si>
  <si>
    <t>53.2</t>
  </si>
  <si>
    <t>53.3</t>
  </si>
  <si>
    <t>53.4</t>
  </si>
  <si>
    <t>53.5</t>
  </si>
  <si>
    <t>53.6</t>
  </si>
  <si>
    <t>53.7</t>
  </si>
  <si>
    <t>53.8</t>
  </si>
  <si>
    <t>53.9</t>
  </si>
  <si>
    <t>53.10</t>
  </si>
  <si>
    <t>53.11</t>
  </si>
  <si>
    <t>53.12</t>
  </si>
  <si>
    <t>53.13</t>
  </si>
  <si>
    <t>53.14</t>
  </si>
  <si>
    <t>53.15</t>
  </si>
  <si>
    <t>53.16</t>
  </si>
  <si>
    <t>53.17</t>
  </si>
  <si>
    <t>53.18</t>
  </si>
  <si>
    <t>53.19</t>
  </si>
  <si>
    <t>53.20</t>
  </si>
  <si>
    <t>53.21</t>
  </si>
  <si>
    <t>53.22</t>
  </si>
  <si>
    <t>53.23</t>
  </si>
  <si>
    <t>53.24</t>
  </si>
  <si>
    <t>53.25</t>
  </si>
  <si>
    <t>53.26</t>
  </si>
  <si>
    <t>53.27</t>
  </si>
  <si>
    <t>53.28</t>
  </si>
  <si>
    <t>53.29</t>
  </si>
  <si>
    <t>54</t>
  </si>
  <si>
    <t>55</t>
  </si>
  <si>
    <t>56</t>
  </si>
  <si>
    <t>57</t>
  </si>
  <si>
    <t>58.1</t>
  </si>
  <si>
    <t>Дозировочное отделение. Монтаж оборудования, ЩСУ, кабельных связей ЩСУ.</t>
  </si>
  <si>
    <t>58.2</t>
  </si>
  <si>
    <t>58.3</t>
  </si>
  <si>
    <t>58.4</t>
  </si>
  <si>
    <t>58.5</t>
  </si>
  <si>
    <t>58.6</t>
  </si>
  <si>
    <t>59</t>
  </si>
  <si>
    <t>ПАО «Иркутскэнерго»
664025, г. Иркутск, ул. Сухэ-Батора,3
Генеральный директор Причко О.Н. 
Филиал ПАО "Иркутскэнерго" 
Усть-Илимская ГЭС
666683, г. Усть-Илимск, Иркутской обл., а/я 958, тел. (39535) 95 859, 95 736.
Директор филиала Кузнецов С.В.
Генподрядчик: ООО "Аргон"
666683, Иркутская область, г Усть-Илимск, ул. Героев Труда, д 49, кв. 85 
Директор Землякова Т.С.</t>
  </si>
  <si>
    <t>ПАО «Богучанская ГЭС» в лице АО «Организатор строительства Богучанской ГЭС»
 663491, г. Кодинск, стройбаза левого берега. Зд. 1, объединённая база №1, а/я 29, Тел.(39143)7-13-40, Факс (39143) 7-13-39 
Генеральный директор  Чернявский С.Ю.
Подрядчик: АО "Гидроэлектромонтаж"
675000, Амурская область, г. Благовещенск, ул. Зейская, 225/3
Генеральный директор В.А. Васильев</t>
  </si>
  <si>
    <t>ПС 220/100 кВ "Восточная" 
Строительство ПС
г. Иркутск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</si>
  <si>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 Энергетиков 6. 
Директор Коваленко Э.А.
Генподрядчик: ООО «ЕвроСибЭнерго-инжиниринг» 
664050,г. Иркутск, ул. Байкальская, д. 259
тел.: (3952) 794-683, факс: (3952) 794-546
Генеральный директор Погосбеков Д.Д.</t>
  </si>
  <si>
    <t xml:space="preserve">Монтаж автотрансформаторов АОДЦН-167000/500/220 - 3 шт.  Монтаж электрооборудования 500кВ и жесткой ошиновки 500кВ, 220кВ. Устройство фундаментов под оборудование и жесткую ошиновку 220кВ. Изготовление и монтаж металлоконструкций под оборудование и жесткую ошиновку 500кВ, 220кВ. Монтаж кабельно-проводниковой продукции, монтаж ОРУ-35кВ </t>
  </si>
  <si>
    <t xml:space="preserve">ПС 500 кВ "Озерная" 
Строительство ПС
г. Тайшет Иркутской обл.
(ВЛ 500кВ Богучанская ГЭС - Озерная) </t>
  </si>
  <si>
    <t xml:space="preserve">ПАО «ФСК ЕЭС»                
117630, г. Москва, ул. Академика Челомея, д.5А.
Генподрядчик  ООО «ЕвроСибЭнерго-инжиниринг» 
 664050,г. Иркутск, ул. Байкальская, д. 259
тел.: (3952) 794-683, факс: (3952) 794-546
Генеральный директор Погосбеков Д.Д.
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</si>
  <si>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г.Тулун, пер. Энергетиков 6. 
Директор Коваленко Э.А.., 
Генподрядчик: АО "Энергетические технологии" 
664033, г. Иркутск, ул. Лермонтова, 130, оф. 110, Тел.: (3952) 423-523
Генеральный директор Черных О.Г.</t>
  </si>
  <si>
    <t>ПС 500/220/35 кВ "Озерная"
 г. Тайшет,  Иркутская обл.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</si>
  <si>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 Тулун, пер. Энергетиков 6. 
Директор Коваленко Эдуард Александрович;</t>
  </si>
  <si>
    <t>ОАО «Иркутская электросетевая компания»
664033, г. Иркутск, ул. Лермонтова 257,Тел: (3952) 792-459 Факс: (3952) 792-461
Генеральный директор Б.Н. Каратаев
Филиал Западные электрические сети 
665253 г. Тулун, пер. Энергетиков 6. 
Директор Коваленко Э.А.
Подрядчик: АО "ИРМЕТ" 
664050, г. Иркутск, ул. Байкальская, 239, корпус 26 А
Директор С.Г. Шатнев</t>
  </si>
  <si>
    <t>ЭМР в объеме:
установка управляемого шунтирующего реактора; ОРУ 500кВ с жесткой ошиновкой; релейная защита и автоматика; организация ВЧ-каналов связи по ВЛ 500 кВ; кабельное хозяйство и ТСН, ЩСН, система АСУ ТП.</t>
  </si>
  <si>
    <r>
      <t xml:space="preserve">ПАО «ФСК ЕЭС» 
117630, г. Москва, ул. Академика Челомея, д.5А.    
Филиал ПАО «ФСК ЕЭС»- МЭС Сибири.
660099, Красноярский край, Красноярск, ул. Лебедевой, 117 
Тел. (391) 265-95-00 
</t>
    </r>
    <r>
      <rPr>
        <sz val="9"/>
        <rFont val="Times New Roman"/>
        <family val="1"/>
        <charset val="204"/>
      </rPr>
      <t>Генеральный директор филиала – Очайкин Д.В.</t>
    </r>
  </si>
  <si>
    <t>Разработка рабочей документации;
Организация авторского надзора;
Демонтаж внутреннего оборудования двух ячеек РУ10кВ. Поставка  и  монтаж выключателей 10 кВ, оборудования АИИС КУЭ, РЗА, ТМ в ячейках. Монтаж кабельно-проводниковой продукции.
Пусконаладочные работы.</t>
  </si>
  <si>
    <t xml:space="preserve"> ПС 220кВ Кодинская ГПП
ЗРУ 10кВ
Расширение ЗРУ 10кВ на одну линейную ячейку 
г. Кодинск,  Красноярский край, Кежемский р-н</t>
  </si>
  <si>
    <t>Новая котельная каркасного типа отделения "Теплоэнерго" г. Елизово, Площадка котельной № 2 
г. Елизово, Камчатский край
Строительство котельной</t>
  </si>
  <si>
    <t>Строительно-монтажные и демонтажные работы ОРУ 110 кВ.
Монтаж трансформатора ТДН-25000/110/10; оборудования ОРУ 110 кВ; шкафов КРУ 10 кВ; ошиновки 10 кВ; кабельного хозяйства; оборудования АСУ, РЗА, ВЧ-связи.
Пусконаладочные работы</t>
  </si>
  <si>
    <t>ПС 35/10 кВ "Морозная"
Строительство ПС
 г. Елизово, м-р Северо-Запад,
Камчатский край</t>
  </si>
  <si>
    <t>Поставка оборудования. 
Строительно-монтажные работы:
-Устройство фундаментов под оборудование;
-монтаж порталов  35 кВ и 10кВ;
-Устройство ограждения подстанции;
-Монтаж заземления и кабельных трасс ПС;
- Установка опор ВЛ;
-Монтаж трансформаторов ТМН-630/35/10;
-Монтаж ЗРУ 35 кВ и ЗРУ 10 кВ;
-Монтаж системы освещения , видеонаблюдения и СКУД;
-Прокладка кабеля 10 кВ до горнолыжной базы "Морозная". 
Пусконаладочные работы.</t>
  </si>
  <si>
    <t>Братский Алюминиевый Завод
Реконструкция завода
г. Братск, Иркутская обл.</t>
  </si>
  <si>
    <t>Строительная площадка Богучанского алюминиевого завода,  
п. Таёжный,  Красноярский край</t>
  </si>
  <si>
    <t>Богучанский Алюминиевый Завод п. Таёжный,  Красноярский край
Строительство завода</t>
  </si>
  <si>
    <t>Строительная площадка Богучанского алюминиевого завода,  п. Таёжный,  Красноярский край</t>
  </si>
  <si>
    <t>Электромонтажные, пусконаладочные работы и монтаж технологического оборудования.
- Монтаж электрооборудования и электроосвещения; 
- монтаж оборудования для выплавки вакуум-носков; 
- монтаж установки для разрушения футеровки ковшей; 
- монтаж машины для чистки ковшей; 
- монтаж оборудования для сушки ковшей; 
- монтаж системы воздухоснабжения цеха; 
- монтаж трубопроводов подачи масла.</t>
  </si>
  <si>
    <t>АО "Группа Илим"
 г. Братск Иркутской обл.</t>
  </si>
  <si>
    <t>Реализация проекта "Изменение схемы питания распределительных устройств ПОСП КС-1"</t>
  </si>
  <si>
    <t xml:space="preserve">АО "Группа «Илим"
191025, г. Санкт-Петербург, ул. Марата,17,
Филиал  АО "Группа «Илим" в г. Братске, 665718, РФ, Иркутская обл., г. Братск
Тел: (3953) 340106, </t>
  </si>
  <si>
    <t>Работы по ликвидации последствий после падения крана SKR-3500: монтаж кабеля диф. защиты ШП 3,4 и резервного ввода; ПНР и испытание кабеля диф.защиты резервного ввода РП-10, ШП 3,4; ЭМР по кабельной трассе ТЭЦ-6 РП-10.</t>
  </si>
  <si>
    <t>АО "Группа Илим" 
г. Усть-Илимск, Иркутская обл.
СРК-1</t>
  </si>
  <si>
    <t>АО "Группа Илим"
191025, г. Санкт-Петербург, ул. Марата,17,
Филиал  АО "Группа «Илим" в г. Усть-Илимске
666684, Россия, Иркутская область, промплощадка ЛПК, Тел.: (39535) 9-22-66 
Генподрядчик- ООО "Илимтехносервис"</t>
  </si>
  <si>
    <t xml:space="preserve">СМР по замене первой камеры электрофильтра СРК-1 
-Демонтаж, монтаж кабельных конструкций, кабеля; монтаж шин и шинопровода; монтаж высоковольтных трансформаторов-выпрямителей; заземление электростатического фильтра; освещение; вентиляция.
</t>
  </si>
  <si>
    <t>Строгальный цех. Лесопильно-деревообрабатывающий комплекс  по выпуску пиломатериалов (ЛДК Игирма)
п. Новая Игирма,  Иркутская обл.</t>
  </si>
  <si>
    <t>ЗАО "ЛДК Игирма"
664075, Иркутск, ул. Байкальская, д.234</t>
  </si>
  <si>
    <t>Директор ООО "БМУ ГЭМ"                                                                                                                                                         А.В. Хабуктанов</t>
  </si>
  <si>
    <t>Культурно-просветительский центр (Храм)
Строительство
г. Братск, ж/р Центральный, ул. Мира, 32</t>
  </si>
  <si>
    <t xml:space="preserve">Производственная площадка Братского завода ферросплавов 
г. Братск Иркутская обл.
</t>
  </si>
  <si>
    <t xml:space="preserve">
Иркутская ГЭС
г. Иркутск</t>
  </si>
  <si>
    <t xml:space="preserve">ПС-35/6кВ "Новый Невон" и ВЛ-110кВ
пос. Невон, Усть Илимский район, Иркутская обл. </t>
  </si>
  <si>
    <t xml:space="preserve">ПС "Падунская" 
Реконструкция ПС 
г.Братск,  Иркутская  обл.
</t>
  </si>
  <si>
    <t xml:space="preserve">ПС 220/110/10 кВ "Заводская"
ПС 220/110/10 кВ "Опорная"
Реконструкция ПС
г. Братск, Иркутская обл.
</t>
  </si>
  <si>
    <t xml:space="preserve">"ПС 35/10 кВ "Черноруд"
г. Иркутск
</t>
  </si>
  <si>
    <t>ПС 110/10кВ Покровская
Строительство ПС
г.Иркутск, пос. Пивовариха</t>
  </si>
  <si>
    <t>Строительство ПС "под ключ", включая проектные работы, поставку оборудования, строительно-монтажные (монтаж (включая опорные металлоконструкции) основного электротехнического оборудования (110 кВ и 10 кВ); монтаж оборудования систем РЗА, ПА, АИИСКУЭ, АСУТП, систем ВЧ связи, ВОЛС, технологической связи, (включая прокладку силовых и контрольных кабелей); благоустройство, устройство фундаментов под оборудование, порталы и молниеприёмники, строительство здания ОПУ, гаража с административно-бытовыми помещениями, насосной пожаротушения, пожарного водопровода, устройство очистных сооружений с маслоприёмной ёмкостью и маслопроводами, а также строительство новой линии ВЛ 110 кВ в габаритах 220 кВ, протяженностью 1,5 км) и пусконаладочные работы</t>
  </si>
  <si>
    <t>Ст.экономист ПЭО ООО "БМУ ГЭМ" Л.А. Танина-Шахова т.(3953)413760</t>
  </si>
  <si>
    <t>Заказчик
 (наименование, адрес, тел., контактное лицо с указанием должности)</t>
  </si>
  <si>
    <t>Номер, дата договора</t>
  </si>
  <si>
    <t>Предмет договора</t>
  </si>
  <si>
    <t>022/02/11 от 19.03.2011</t>
  </si>
  <si>
    <t>234/02/11 от 26.12.11</t>
  </si>
  <si>
    <t>Реконструкция оборудования режима синхронного компенсатора (СК)  инв. №00043203</t>
  </si>
  <si>
    <t>065/02/12 от 16.05.2012</t>
  </si>
  <si>
    <t xml:space="preserve">Строительно-монтажные работы </t>
  </si>
  <si>
    <t>059/02/12 от 08.06.2012</t>
  </si>
  <si>
    <t>Реконструкция электрооборудования крана козлового №2 г/п 150т Зав.№ 521 (инв. № 00043011)</t>
  </si>
  <si>
    <t>Модернизация устройств центральной сигнализации машинного зала здания  Братской ГЭС.</t>
  </si>
  <si>
    <t>131/02/12 от 18.09.12</t>
  </si>
  <si>
    <t xml:space="preserve">Строительно-монтажные и пусконаладочные работы </t>
  </si>
  <si>
    <t>152/02/12 от 15.10.2012</t>
  </si>
  <si>
    <t>Реконструкция сети постоянного тока машинного зала здания ГЭС 3 -й пусковой комплекс (инв.№№00040122, 00040123).</t>
  </si>
  <si>
    <t>073/02/13 от 13.06.13</t>
  </si>
  <si>
    <t>Замена рабочего колеса 12Г - Вывозка рабочего колеса с МП-1 на центральный склад (территория здания закрытого теплового склада ОМТС) Братской ГЭС</t>
  </si>
  <si>
    <t>075/02/14 от 07.04.2014</t>
  </si>
  <si>
    <t>Замена рабочего колеса 10Г - Вывозка рабочего колеса с МП-1 на центральный склад Братской ГЭС</t>
  </si>
  <si>
    <t>Замена рабочего колеса 8Г - Вывозка рабочего колеса с МП-1 на центральный склад Братской ГЭС</t>
  </si>
  <si>
    <t>Замена рабочего колеса 7Г - Вывозка рабочего колеса с МП-1 на центральный склад Братской ГЭС</t>
  </si>
  <si>
    <t>013/02/15 от 12.02.2015</t>
  </si>
  <si>
    <t>087/02/15 от 29.07.2015</t>
  </si>
  <si>
    <t>Аварийные ремонтные работы</t>
  </si>
  <si>
    <t>102/02/15 от 27.10.2015</t>
  </si>
  <si>
    <t>183/02/14 от 22.09.2014</t>
  </si>
  <si>
    <t>Комплектация и поставка  технологического и инженерного оборудования, конструкций и материалов. Строительно-монтажные работы.</t>
  </si>
  <si>
    <t xml:space="preserve">
Братская ГЭС 
г. Братск,  Иркутской области </t>
  </si>
  <si>
    <t>Реконструкция оборудования режима синхронного компенсатора (СК)</t>
  </si>
  <si>
    <t xml:space="preserve">Модернизация устройств центральной сигнализации машинного зала здания  Братской ГЭС.
 </t>
  </si>
  <si>
    <t>Реконструкция электрооборудования крана козлового №2 г/п 150т</t>
  </si>
  <si>
    <t>Реконструкция сети постоянного тока машинного зала здания ГЭС - 3 этап</t>
  </si>
  <si>
    <t xml:space="preserve">Замена рабочего колеса 12Г </t>
  </si>
  <si>
    <t>Замена рабочего колеса 10Г</t>
  </si>
  <si>
    <t>Замена рабочего колеса 8Г</t>
  </si>
  <si>
    <t xml:space="preserve">Замена рабочего колеса 7Г </t>
  </si>
  <si>
    <t>ПАО «Иркутскэнерго»
664025, г. Иркутск, ул. Сухэ-Батора,3
Генеральный директор Причко О.Н. 
Филиал ПАО "Иркутскэнерго" Братская ГЭС
665709, г. Братск, а/я783
факс (3953)323 367, тел. 323 359
Директор филиала Вотенев  А.А.
Генподрядчик: АО "Энергетические технологии"
664033, г. Иркутск, ул. Лермонтова, 130, оф. 110, Тел.: (3952) 423-523
Генеральный директор Черных О.Г.</t>
  </si>
  <si>
    <t>Реконструкция типового блока 500 кВ. Реконструкция блока 8Т (РЗА)</t>
  </si>
  <si>
    <t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Генподрядчик  ООО «ЕвроСибЭнерго-инжиниринг»  
664050,г. Иркутск, ул. Байкальская, д. 259
тел.: (3952) 794-683, факс: (3952) 794-546
Генеральный директор Погосбеков Д.Д.</t>
  </si>
  <si>
    <t>ОАО «Иркутская электросетевая компания»
664033, г. Иркутск, ул. Лермонтова 257,
Тел: (3952) 792-459
Генеральный директор Б.Н. Каратаев
Центральные электрические сети
665812, Иркутская область, г. Ангарск, ул.Б.Хмельницкого, 22, тел.(3955)502740
Директор: Старцев Максим Владимирович
Генподрядчик  ООО «ЕвроСибЭнерго-инжиниринг»
 664050,г. Иркутск, ул. Байкальская, д. 259
тел.: (3952) 794-683, факс: (3952) 794-546
Генеральный директор Погосбеков Д.Д.</t>
  </si>
  <si>
    <t>ОАО «Иркутская электросетевая компания»
664033, г. Иркутск, ул. Лермонтова 257,
Тел: (3952) 792-459
Генеральный директор Б.Н. Каратаев
Южные электрические сети
Директор филиала ЮЭС В.И. Черняков 664056, г. Иркутск, ул. Безбокова, 38
Тел./факс.: (3952) 793-203   
Генподрядчик  ООО «ЕвроСибЭнерго-инжиниринг» 
 664050,г. Иркутск, ул. Байкальская, д. 259
тел.: (3952) 794-683, факс: (3952) 794-546
Генеральный директор Погосбеков Д.Д.
Подрядчик: АО "Энергетические технологии"
664033, г. Иркутск, ул. Лермонтова, 130, оф. 110, Тел.: (3952) 423-523
Генеральный директор Черных О.Г.</t>
  </si>
  <si>
    <t>ОАО «Иркутская электросетевая компания»
664033, г. Иркутск, ул. Лермонтова 257,
Тел: (3952) 792-459
Генеральный директор Б.Н. Каратаев
Генподрядчик  ООО «ЕвроСибЭнерго-инжиниринг» 
 664050,г. Иркутск, ул. Байкальская, д. 259
тел.: (3952) 794-683, факс: (3952) 794-546
Генеральный директор Погосбеков Д.Д.
Подрядчик ООО "Инженерный центр "Иркутскэнерго",
г. Иркутск, б-р Рябикова 67, 
Тел. (3952) 790-711, Факс (3952) 790-742 
Директор Моисеев Т.В.</t>
  </si>
  <si>
    <t>ПАО «ФСК ЕЭС» 
117630, г. Москва, ул. Академика Челомея, д.5А.    
Филиал ПАО «ФСК ЕЭС»- МЭС Сибири.
660099, Красноярский край, Красноярск, ул. Лебедевой, 117 
Тел. (391) 265-95-00 
Генеральный директор филиала – Очайкин Д.В.</t>
  </si>
  <si>
    <t>ПАО "РУСАЛ Братский Алюминиевый Завод" 665716, Иркутская область, г.Братск-16
Тел. (3953) 49-26-50
Управляющий директор – Евгений Юрьевич Зенкин</t>
  </si>
  <si>
    <t xml:space="preserve">Общестроительные работы, монтаж оборудования, электромонтажные и пусконаладочные работы.
- Монтаж трансформаторов ТРДЦН-100000/220кВ (производство ПАО «Запорожтрансформатор», Украина);
- монтаж регулировочных автотрансформаторов мощностью 148 МВА и преобразовательных трансформаторов мощностью 2х74 МВА (производство AREVA, Франция);
- Монтаж токоограничивающих реакторов РТСТТ 10-4000-0,2;
- Монтаж кабельных линий с изоляцией из сшитого полиэтилена марки АПвПу2г 1х630гж/240 мм/кВ. 220 кВ;
- Монтаж концевых трансформаторных маслонаполненных муфт 220 кВ (производство BRÜGG Cables, Германия), концевых кабельных муфт 220 кВ (производство Connex, Германия);  
- Монтаж комплектного распределительного устройства с элегазовой изоляцией (КРУЭ-220 кВ) 
(производство AREVA, Франция);
- Монтаж временного электроснабжения кремниево-преобразовательной подстанции (КПП);
- Монтаж шинопроводов постоянного тока КПП-1 (из алюминиевой шины 640х70), шинных мостов 10кВ;
- Монтаж системы пожаротушения трансформаторов КПП-1 и ГПП-220кВ.
</t>
  </si>
  <si>
    <t>старый вариант</t>
  </si>
  <si>
    <t>Комплексный проект переоборудования систем автоматической пожарной сигнализации, пожаротушения производственных и административно-бытовых помещений Братской ГЭС</t>
  </si>
  <si>
    <t>20ПМ/12 от 31.07.2012</t>
  </si>
  <si>
    <t>63П-21/13 от 19.08.2013</t>
  </si>
  <si>
    <t>63П-28/14 от 03.03.2014</t>
  </si>
  <si>
    <t>63П-30/14 от 03.06.2014</t>
  </si>
  <si>
    <t xml:space="preserve">Прокладка и измерение волоконно-оптических кабелей, их сварка, подключение и измерение.
</t>
  </si>
  <si>
    <t>63П-31/14 от 31.07.2014</t>
  </si>
  <si>
    <t xml:space="preserve">Строительно-монтажные работы следующих комплексов: Терминал АРЧМ, ГРАРМ с верхним уровнем, ЭГР 10Г, ССМД 10Г с верхним уровнем, ЭГР 12Г, ССМД 12Г с верхним уровнем, ЭГР 17Г, ССМД 17Г с верхним уровнем.
</t>
  </si>
  <si>
    <t xml:space="preserve">Строительно-монтажные работы следующих комплексов: Терминал АРЧМ, ГРАРМ с верхним уровнем, ЭГР 3Г, ССМД 3Г с верхним уровнем, ЭГР 4Г, ССМД 4Г с верхним уровнем.
</t>
  </si>
  <si>
    <t xml:space="preserve">Строительно-монтажные работы следующих комплексов: Терминал АРЧМ, ГРАРМ с верхним уровнем, ЭГР 1Г, ЭГР 2Г
</t>
  </si>
  <si>
    <t>63П-33/14 от 27.10.2014</t>
  </si>
  <si>
    <t>63П-32/14 от 15.09.2014</t>
  </si>
  <si>
    <t xml:space="preserve">Строительно-монтажные работы следующих комплексов: Терминал АРЧМ, ГРАРМ с верхним уровнем, ЭГР 18Г
</t>
  </si>
  <si>
    <t>63П-36/15 от 06.02.2015</t>
  </si>
  <si>
    <t xml:space="preserve">Строительно-монтажные работы следующих комплексов: Терминал АРЧМ, ГРАРМ с верхним уровнем, ЭГР 7Г, ПТК ССМД 7Г с верхним уровнем, ЭГР 8Г, ССМД 8Г с верхним уровнем, ЭГР 9Г, ССМД 9Г с верхним уровнем.
</t>
  </si>
  <si>
    <t>63П-37/15 от 25.05.2015</t>
  </si>
  <si>
    <t>Строительно-монтажные работы следующих комплексов: ПТК ССМД 14Г с верхним уровнем</t>
  </si>
  <si>
    <t xml:space="preserve">Строительно-монтажные  работы следующих комплексов: Терминал АРЧМ, ГРАРМ с верхним уровнем, ЭГР 13Г, ПТК ССМД 13Г с верхним уровнем, ЭГР 15Г, ССМД 15Г с верхним уровнем, ССМД 18Г с верхним уровнем, ЭГР 14Г.
</t>
  </si>
  <si>
    <t>63П-39/15 от 27.07.2015</t>
  </si>
  <si>
    <t>07.2017</t>
  </si>
  <si>
    <t xml:space="preserve">09.2016
</t>
  </si>
  <si>
    <t xml:space="preserve">12.2016 
</t>
  </si>
  <si>
    <t xml:space="preserve">Строительно-монтажные  и пусконаладочные работы следующих комплексов:  Терминал АРЧМ, ГРАРМ с верхним уровнем, ССМД 1Г с верхним уровнем
</t>
  </si>
  <si>
    <t xml:space="preserve">Строительно-монтажные работы следующих комплексов:  Терминал АРЧМ, ГРАРМ с верхним уровнем, ССМД 1Г с верхним уровнем
</t>
  </si>
  <si>
    <t>63П-44/15 от 01.10.2015</t>
  </si>
  <si>
    <t xml:space="preserve">Строительно-монтажные  работы  </t>
  </si>
  <si>
    <t>98/2012</t>
  </si>
  <si>
    <t>03-11 от 07.07.2011</t>
  </si>
  <si>
    <t>Реконструкция системы оперативного постоянного тока Усть-Илимской ГЭС</t>
  </si>
  <si>
    <t>26КС/2011 от 24.05.2011</t>
  </si>
  <si>
    <t>27КС/2011 от 27.05.2011</t>
  </si>
  <si>
    <t xml:space="preserve">Строительно-монтажные  работы </t>
  </si>
  <si>
    <t>14КС/2012 от 14.05.2012</t>
  </si>
  <si>
    <t>7КС/2012 от 10.02.2012</t>
  </si>
  <si>
    <t>23-12 от 17.08.2017</t>
  </si>
  <si>
    <t>18КС/2012 от 04.07.2012</t>
  </si>
  <si>
    <t>21КС/2012 от 22.06.2012</t>
  </si>
  <si>
    <t>Капитальный ремонт токопроводов ТЭКН-20/23000 в ячейке трансформаторов ст.№7Т и ст.№8Т с полной заменой опорных изоляторов</t>
  </si>
  <si>
    <t xml:space="preserve">Капитальный ремонт токопроводов ТЭКН-20/23000 в ячейке трансформаторов ст.№7Т и ст.№8Т с полной заменой опорных  изоляторов </t>
  </si>
  <si>
    <t>Капитальный ремонт токопроводов ТЭКН-20/23000 в ячейке трансформаторов ст. № 3Т и ст.№6Т с полной заменой опорных изоляторов</t>
  </si>
  <si>
    <t xml:space="preserve">Капитальный ремонт токопроводов ТЭКН-20/23000 в ячейкетрансформаторов ст. № 3Т и ст.№6Т с полной заменой опорных  изоляторов </t>
  </si>
  <si>
    <t>09-13 от 11.03.2013</t>
  </si>
  <si>
    <t>Реконструкция нежилого отдельно стоящего здания ГЭС, состоящего из 20 отметок,  общей площадью 46582,6м2</t>
  </si>
  <si>
    <t>10КС/2013 от 20.06.2013</t>
  </si>
  <si>
    <t>8КС/2013 от 05.06.2013</t>
  </si>
  <si>
    <t>22КС/2013 от 03.09.2013</t>
  </si>
  <si>
    <t>3КС/2014 от 01.04.2014</t>
  </si>
  <si>
    <t>19-14 от 22.05.2014</t>
  </si>
  <si>
    <t>22-14 от 19.06.2014</t>
  </si>
  <si>
    <t>Реконструкция агрегатных собственных нужд 0,4 кВ блока 2Т</t>
  </si>
  <si>
    <t>10КС/2014 от 30.06.2014</t>
  </si>
  <si>
    <t xml:space="preserve">Строительно-монтажные  и пусконаладочные работы. </t>
  </si>
  <si>
    <t xml:space="preserve"> Реконструкция устройств РЗА ВЛ 500 кВ Усть-Илимская ГЭС - Братская ГЭС (ВЛ571) с реализацией ОАПВ</t>
  </si>
  <si>
    <t>11КС/2014 от 10.07.2014</t>
  </si>
  <si>
    <t xml:space="preserve"> ОРУ 220-500 кВ. Реконструкция устройств РЗА ВЛ 572 на У-ИГЭС с реализацией ОАПВ</t>
  </si>
  <si>
    <t>16КС/2014 от 29.09.2014</t>
  </si>
  <si>
    <t>5КС-2015 от 10.04.2015</t>
  </si>
  <si>
    <t xml:space="preserve">08.2016 
</t>
  </si>
  <si>
    <t>Э-2011/1807 от 25.08.2011</t>
  </si>
  <si>
    <t>Э-2012/27.07 от 27.07.2012</t>
  </si>
  <si>
    <t>Реконструкция типового блока 500кВ Усть-Илимской ГЭС. Реконструкция блока 7Т. Реконструкция агрегатных собственных нужд 0,4кВ блока 7Т Усть-Илимской ГЭС (АСН).</t>
  </si>
  <si>
    <t>08С-13А от 24.03.201</t>
  </si>
  <si>
    <t xml:space="preserve">07.2016
</t>
  </si>
  <si>
    <t>10С-15А от 24.04.2015</t>
  </si>
  <si>
    <t>10.1</t>
  </si>
  <si>
    <t>38 от 06.02.2013</t>
  </si>
  <si>
    <t>Гидрогенератор № 3 1180-160-72.
Замена системы тиристорного возбуждения. (инв. № 054362).
Гидрогенератор № 4 1180-160-72.
Замена системы тиристорного возбуждения. (инв. № 054363).</t>
  </si>
  <si>
    <t>59 от 24.12.2013</t>
  </si>
  <si>
    <t>Гидрогенератор № 6 1160-180-72.
Замена системы тиристорного возбуждения. 
Гидрогенератор № 7 1160-180-72.
Замена системы тиристорного возбуждения.</t>
  </si>
  <si>
    <t xml:space="preserve">Реконструкция схемы собственных нужд станции на напряжении 6 и 0,4 кВ. 4 пусковой комплекс.
</t>
  </si>
  <si>
    <t>ИРМ-11/11 от 15.04.2011</t>
  </si>
  <si>
    <t>Разработка проектно-сметной документации и выполнение комплекса работ по изменению схемы 6 кВ временного электроснабжения основных сооружений Богучанской ГЭС</t>
  </si>
  <si>
    <t>Разработка проектно-сметной документации и выполнение комплекса работ по  изменению схемы 6 кВ временного электроснабжения основных сооружений Богучанской ГЭС</t>
  </si>
  <si>
    <t>Монтаж и пусконаладочные  работы  силового электрооборудования Богучанской ГЭС</t>
  </si>
  <si>
    <t>BGC 082 от 25.08.2009</t>
  </si>
  <si>
    <t>BGC 166 от 21.11.2008</t>
  </si>
  <si>
    <t>Второй этап автоматизированной системы опроса контрольно-измерительной аппаратуры (АСО КИА) гидротехнических сооружений Богучанской ГЭС</t>
  </si>
  <si>
    <t>5230-13-ПЭГ от 24.07.2013</t>
  </si>
  <si>
    <t>Аварийно-восстановительный ремонт (АВР) блочного трансформатора Т2 типа ТЦ 400000/500 УХЛ1 на БоГЭС</t>
  </si>
  <si>
    <t>Определение источника повышенного газовыделения в блочном трансформаторе Т7 типа ТЦ-400000/220-УХЛ1</t>
  </si>
  <si>
    <t>6246-15-СПСР от 06.04.2015</t>
  </si>
  <si>
    <t>5</t>
  </si>
  <si>
    <r>
      <rPr>
        <b/>
        <sz val="9"/>
        <color theme="1"/>
        <rFont val="Times New Roman"/>
        <family val="1"/>
        <charset val="204"/>
      </rPr>
      <t xml:space="preserve"> ПС "Ангара" 
 п. Таежный,  Богучанском район, Красноярский край</t>
    </r>
    <r>
      <rPr>
        <sz val="9"/>
        <color theme="1"/>
        <rFont val="Times New Roman"/>
        <family val="1"/>
        <charset val="204"/>
      </rPr>
      <t xml:space="preserve">
Работы по монтажу шинных опор, монтажу ошиновки на ОРУ 220 кВ ПС "Ангара" для подключения ячеек №3-4</t>
    </r>
  </si>
  <si>
    <t xml:space="preserve">Монтаж  КРУЭ 500кВ </t>
  </si>
  <si>
    <t>Монтаж оборудования КРУЭ 500 кВ Богучанской ГЭС</t>
  </si>
  <si>
    <t>45 от 07.09.2011</t>
  </si>
  <si>
    <t xml:space="preserve">Работы по монтажу 11 комплектов оборудования  КРУЭ 500 кВ </t>
  </si>
  <si>
    <t xml:space="preserve">Монтаж кабельных линий XLPE 500 кВ и 220кВ </t>
  </si>
  <si>
    <t xml:space="preserve">Комплекс работ по монтажу кабельных линий XLPE 500 кВ и 220кВ </t>
  </si>
  <si>
    <t>КРУЭ 220кВ Богучанской ГЭС</t>
  </si>
  <si>
    <t>Работы по монтажу оборудования по титулу "КРУЭ 220кВ Богучанской ГЭС".</t>
  </si>
  <si>
    <t>44 от 29.08.2011</t>
  </si>
  <si>
    <t>Устройство временной системы отопления помещений КРУЭ 220 кВ Богучанской ГЭС</t>
  </si>
  <si>
    <t>47 от 28.09.2011</t>
  </si>
  <si>
    <t>ИЦ-03/5-11-917 от 10.03.12</t>
  </si>
  <si>
    <t>Монтаж кабельных линий XLPE 500 кВ сечением 1х2500 мм2 . Изготовление и монтаж металлоконструкций для прокладки кабеля 500кВ. 
Пусконаладочные работы.</t>
  </si>
  <si>
    <t>Строительно-монтажные  и пусконаладочные работы по системе мониторинга переходных режимов (СМПР) БоГЭС</t>
  </si>
  <si>
    <t>1 от 31.01.2012</t>
  </si>
  <si>
    <t>Работы по монтажу кабельных металлоконструкций и линий КРУЭ 220кВ</t>
  </si>
  <si>
    <t>15/10-1 от 18.10.2013</t>
  </si>
  <si>
    <t>130 от 03.02.2015</t>
  </si>
  <si>
    <t>01/2011-ГЭМ от 06.12.2010</t>
  </si>
  <si>
    <t>КС-02-11 от 15.02.2011</t>
  </si>
  <si>
    <t>02/2011-ГЭМ от 12.04.2011</t>
  </si>
  <si>
    <t>03/2011-ГЭМ от 12.04.2011</t>
  </si>
  <si>
    <t>КС-24-11 от 01.06.2011</t>
  </si>
  <si>
    <t>05-2012/ГЭМ от 06.03.2012</t>
  </si>
  <si>
    <t>04-2012/ГЭМ от 08.02.2012</t>
  </si>
  <si>
    <t>06-2012/ГЭМ от 17.05.2012</t>
  </si>
  <si>
    <t>07-2012/ГЭМ от 09.10.2012</t>
  </si>
  <si>
    <t>КС-71-12 от 22.10.2012</t>
  </si>
  <si>
    <t>08/2013-ГЭМ от 29.04.2013</t>
  </si>
  <si>
    <t>КС-25-13 от 28.06.2013</t>
  </si>
  <si>
    <t>010/2014-ГЭМ от 17.01.2014</t>
  </si>
  <si>
    <t>011/2014-ГЭМ от 22.04.2014</t>
  </si>
  <si>
    <t>КС-70-14 то 07.08.2014</t>
  </si>
  <si>
    <t>КС-69-14 то 07.08.2014</t>
  </si>
  <si>
    <t>КС-68-14 то 07.08.2014</t>
  </si>
  <si>
    <t>014/2015-ГЭМ от 19.10.2015</t>
  </si>
  <si>
    <t>015/2015*-ГЭМ от 30.11.2015</t>
  </si>
  <si>
    <t>107-13/14 от 18.06.2014</t>
  </si>
  <si>
    <t>258-023/15 от 19.01.2015</t>
  </si>
  <si>
    <t>121-016/15 от 19.01.2015</t>
  </si>
  <si>
    <t>258-025/15 от 27.01.2015</t>
  </si>
  <si>
    <t>121-064/15 от 16.10.2015</t>
  </si>
  <si>
    <t>28-4-КС от 19.05.2015</t>
  </si>
  <si>
    <t>84-Р-12 от 12.04.2012</t>
  </si>
  <si>
    <t>85-Р-12 от 12.04.2012</t>
  </si>
  <si>
    <t>1-13 НИТЭЦ от 16.05.2013</t>
  </si>
  <si>
    <t>1-14 НИ/ГЭМ от 28.04.2014</t>
  </si>
  <si>
    <t>050000/2013-а
0490/2013-э-в
0491/2013-э-в
0499/2013-э-в
0569/2015-э-в</t>
  </si>
  <si>
    <t>15 от 04.03.2011</t>
  </si>
  <si>
    <t xml:space="preserve"> Поставка оборудования, демонтажные, строительно-монтажные  и пусконаладочные работы </t>
  </si>
  <si>
    <t xml:space="preserve">ПС-35/6кВ "Новый Невон" и ВЛ-110кВ
пос. Невон, Усть Илимский район, Иркутская обл. </t>
  </si>
  <si>
    <t>Замена АТ-1  с 63 на 125 МВА. 
Сроительно-монтажные работы и такелаж оборудования.</t>
  </si>
  <si>
    <t>Реконструкция телемеханики на ПС СЭС
Строительно-монтажные, пусконаладочные работы</t>
  </si>
  <si>
    <t>Строительно-монтажные, пусконаладочные работы.
Ремонт оборудования.</t>
  </si>
  <si>
    <t>91 от 03.06.14
15р-2015об от 29.05.1</t>
  </si>
  <si>
    <t>Строительно-монтажные, пусконаладочные работы, такелаж оборудования..</t>
  </si>
  <si>
    <t>Строительно-монтажные, пусконаладочные работы,поставка оборудования..</t>
  </si>
  <si>
    <t>Строительство ПС "под ключ". 
Проектные работы, поставка оборудования, строительно-монтажные и пусконаладочные работы</t>
  </si>
  <si>
    <t>118-ВЭС-2013 от 05.09.13</t>
  </si>
  <si>
    <t>159-ВЭС-2013 от 30.08.13</t>
  </si>
  <si>
    <t xml:space="preserve">Транспортировка к месту ремонта, ремонт и такелаж трансформатора ТДТН 25000/110 </t>
  </si>
  <si>
    <t>119_ЗЭС от 20.08.13</t>
  </si>
  <si>
    <t>Поставка оборудования, строительно-монтажные и пусконаладочные работы</t>
  </si>
  <si>
    <t>Ремонтные и наладочные работы</t>
  </si>
  <si>
    <t>10-12 от 23.07.12</t>
  </si>
  <si>
    <t xml:space="preserve">ПС 500 кВ "Озерная" 
"Расширение ПС 500 кВ Озерная в части подключения ВЛ 500 кВ Богучанская ГЭС-Озерная" по титулу "ВЛ 500кВ Богучанская ГЭС - Озерная" </t>
  </si>
  <si>
    <t xml:space="preserve">Строительно-монтажные и пусконаладочные  работы по замене  масляных выключателей на элегазовые </t>
  </si>
  <si>
    <t xml:space="preserve">Электромонтажные   работы по системе АСКУЭ </t>
  </si>
  <si>
    <t>Электромонтажные работы в объеме:
установка управляемого шунтирующего реактора; ОРУ 500кВ с жесткой ошиновкой; релейная защита и автоматика; организация ВЧ-каналов связи по ВЛ 500 кВ; кабельное хозяйство и ТСН, ЩСН, система АСУ ТП.</t>
  </si>
  <si>
    <t>Строительно-монтажные и пусконаладочные работы по реконструкции устройств релейной защиты и автоматики</t>
  </si>
  <si>
    <t>28_15-1ИЦ_15 от 15.10.2015</t>
  </si>
  <si>
    <t>Разработка рабочей документации;
Организация авторского надзора;
Поставка оборудования
Строительно-монтажные работы
Пусконаладочные работы.</t>
  </si>
  <si>
    <t>55 от 13.12.2013</t>
  </si>
  <si>
    <t>Строительно-монтажные и пусконаладочные работы</t>
  </si>
  <si>
    <t>ГП-324 от 09.12.2015</t>
  </si>
  <si>
    <t xml:space="preserve">Работы по разгрузке и консервации трансформаторов КПП-1, КПП-2, ГПП, монтаж резервуаров склада масла </t>
  </si>
  <si>
    <t xml:space="preserve">Комплекс монтажных и пусконаладочных работ </t>
  </si>
  <si>
    <t>Ремонтные работы, приемо-сдаточные испытания и ПНР оборудования КПП</t>
  </si>
  <si>
    <t>14-ARE от 01.10.14</t>
  </si>
  <si>
    <t>Рабрты по разгрузке преобразовательно-регулировочных трансформаторов Alstom</t>
  </si>
  <si>
    <t>Общестроительные работы, монтаж оборудования, электромонтажные и пусконаладочные работы.</t>
  </si>
  <si>
    <t xml:space="preserve">
</t>
  </si>
  <si>
    <t>- Монтаж трансформаторов ТРДЦН-100000/220кВ (производство ПАО «Запорожтрансформатор», Украина);</t>
  </si>
  <si>
    <t>- монтаж регулировочных автотрансформаторов мощностью 148 МВА и преобразовательных трансформаторов мощностью 2х74 МВА (производство AREVA, Франция);</t>
  </si>
  <si>
    <t>- Монтаж токоограничивающих реакторов РТСТТ 10-4000-0,2;</t>
  </si>
  <si>
    <t>- Монтаж кабельных линий с изоляцией из сшитого полиэтилена марки АПвПу2г 1х630гж/240 мм/кВ. 220 кВ;</t>
  </si>
  <si>
    <t xml:space="preserve">- Монтаж концевых трансформаторных маслонаполненных муфт 220 кВ (производство BRÜGG Cables, Германия), концевых кабельных муфт 220 кВ (производство Connex, Германия);  </t>
  </si>
  <si>
    <t xml:space="preserve">- Монтаж комплектного распределительного устройства с элегазовой изоляцией (КРУЭ-220 кВ) </t>
  </si>
  <si>
    <t>(производство AREVA, Франция);</t>
  </si>
  <si>
    <t>- Монтаж временного электроснабжения кремниево-преобразовательной подстанции (КПП);</t>
  </si>
  <si>
    <t>- Монтаж шинопроводов постоянного тока КПП-1 (из алюминиевой шины 640х70), шинных мостов 10кВ;</t>
  </si>
  <si>
    <t>- Монтаж системы пожаротушения трансформаторов КПП-1 и ГПП-220кВ.</t>
  </si>
  <si>
    <t>Электромонтажные, пусконаладочные работы и монтаж технологического оборудования.</t>
  </si>
  <si>
    <t>Работы по обеспечению длительного хранения трансформаторов КПП-2</t>
  </si>
  <si>
    <t>Монтаж силового электрооборудования, устройство электроосвещения, общестроительные и пусконаладочные работы</t>
  </si>
  <si>
    <t xml:space="preserve">Работы по монтажу технологического оборудования Анодно-монтажного отделения </t>
  </si>
  <si>
    <t>Строительно-монтажные работы.</t>
  </si>
  <si>
    <t>Строительно-монтажные и пусконаладочные  работы по реконструкции головного трансформатора Т-2</t>
  </si>
  <si>
    <t xml:space="preserve">СМР по замене первой камеры электрофильтра СРК-1 </t>
  </si>
  <si>
    <t xml:space="preserve">Электромонтажные работы по установке батарей статических конденсаторов </t>
  </si>
  <si>
    <t xml:space="preserve">Ремонтно-восстановительные работы </t>
  </si>
  <si>
    <t>Монтаж электрооборудования.
Электромонтажные работы по электроосвещению</t>
  </si>
  <si>
    <t>112-07 от 21.07.2011</t>
  </si>
  <si>
    <t xml:space="preserve">Электромонтажные работы </t>
  </si>
  <si>
    <t>ОАО «Иркутскэнерго»
664025, г. Иркутск, ул. Сухэ-Батора,3
Генеральный директор Федоров Е.В. 
Филиал ОАО "Иркутскэнерго" Братская ГЭС
665709, г. Братск, а/я783
факс (3953)323 367, тел. 323 359
Директор филиала Кузнецов С.В.</t>
  </si>
  <si>
    <t>08С-13А от 24.03.2014</t>
  </si>
  <si>
    <t>ОАО «Иркутскэнерго»
664025, г. Иркутск, ул. Сухэ-Батора,3
Генеральный директор Причко О.Н. 
Филиал ОАО "Иркутскэнерго" 
Усть-Илимская ГЭС
666683, г. Усть-Илимск, Иркутской обл., а/я 958, тел. (39535) 95 859, 95 736.
Директор филиала Кузнецов С.В.
Генподрядчик: ООО "Аргон"
666683, Иркутская область, г Усть-Илимск, ул. Героев Труда, д 49, кв. 85 
Директор Землякова Т.С.</t>
  </si>
  <si>
    <t>11</t>
  </si>
  <si>
    <t>ОАО "Камчатскэнерго" 
683000 г. Петропавловск-Камчатский 
ул. Набережная 10                    
Тел: (4152) 421006, Факс: (4152) 412026
Генеральный директор Кондратьев С.Б.</t>
  </si>
  <si>
    <t xml:space="preserve">ЗАО "Богучанский Алюминиевый Завод"
 в лице ЗАО "Организатор строительства Богучанского алюминиевого завода"   
663467, Красноярский край, Богучанский р-н, Промплощадка Богучанского алюминиевого завода </t>
  </si>
  <si>
    <t>58</t>
  </si>
  <si>
    <t>58.7</t>
  </si>
  <si>
    <t>58.8</t>
  </si>
  <si>
    <t>558С001С418 от 20.08.14</t>
  </si>
  <si>
    <t xml:space="preserve">Монтаж вентиляции анодно-монтажного отделения; монтаж аспирации отделения переработки электролита </t>
  </si>
  <si>
    <t>10.2017</t>
  </si>
  <si>
    <t xml:space="preserve">КС-28-16 от 30.06 2016 </t>
  </si>
  <si>
    <t>07.2016</t>
  </si>
  <si>
    <t>12.2016</t>
  </si>
  <si>
    <t xml:space="preserve">ГЭМ-17-24 от 25.07.2017 </t>
  </si>
  <si>
    <t>11.2017</t>
  </si>
  <si>
    <t>08.2017</t>
  </si>
  <si>
    <t>06.2019</t>
  </si>
  <si>
    <t>017-912-16 от 01.06.16</t>
  </si>
  <si>
    <t xml:space="preserve">Ф.2016.361479 от 25.11.2016 </t>
  </si>
  <si>
    <t xml:space="preserve">Администрация муниципального образования «Братский район»
Юридический адрес: 665770, Иркутская область, Братский район, г. Вихоревка, 
ул. Дзержинского, 105.
Почтовый адрес: 665717, Иркутская область,  г. Братск, ул. Комсомольская, 28А.
Тел. +7(3953) 41-21-70,  +7(3953) 41-21-75
Мэр Братского района А.С. Баловнев
</t>
  </si>
  <si>
    <t>Ф.2017.342219 от 17.08.2017</t>
  </si>
  <si>
    <t xml:space="preserve">Реконструкция здания котельной школы п.Новодолоново Братского района (второй этап работ). </t>
  </si>
  <si>
    <t>Работы по монтажу монорельсов, металлоконструкций для грузоподъемных  механизмов для механизации, в рамках проекта: "Техническое перевооружение котла Е-75-40К ст.№16".</t>
  </si>
  <si>
    <t>4</t>
  </si>
  <si>
    <t>1</t>
  </si>
  <si>
    <t>2</t>
  </si>
  <si>
    <t xml:space="preserve">Богучанский Алюминиевый Завод 
п. Таёжный,  Красноярский край
</t>
  </si>
  <si>
    <t xml:space="preserve">Котельная каркасного типа №2 
г. Елизово, Камчатский край
</t>
  </si>
  <si>
    <t xml:space="preserve">Котельная школы в п.Новодолоново
Братский район, Иркутская область
 </t>
  </si>
  <si>
    <t>Усть-Илимская ТЭЦ
г.Усть-Илимск, Иркутская область</t>
  </si>
  <si>
    <t>Братская ГЭС 
г. Братск,  Иркутская область</t>
  </si>
  <si>
    <t>Усть-Илимская ГЭС
г. Усть-Илимск, Иркутская область</t>
  </si>
  <si>
    <t xml:space="preserve">Монтаж внутренних промышленных трубопроводов, водопроводов и канализации, отопления и вентиляции Отделения переработки электролита (ОПЭ)
</t>
  </si>
  <si>
    <t xml:space="preserve">Монтаж нагревательных элементов системы обогрева сегментного затвора </t>
  </si>
  <si>
    <t xml:space="preserve">Монтаж трубопроводов отопления, водоснабжения и газоснабжения </t>
  </si>
  <si>
    <t>Демонтаж существующих и установка новых вентиляционных заслонок</t>
  </si>
  <si>
    <t xml:space="preserve">Монтаж технологического оборудования котельной (газовых котлов марки ТТ100-01 по 12 МВт каждый - 4 шт.; деаэраторов насосов, подогревателей, охладителей), технологическая обвязка оборудования                                                      </t>
  </si>
  <si>
    <t>Монтаж технологического оборудования</t>
  </si>
  <si>
    <t>ПАО «Иркутскэнерго»
664025, г. Иркутск, ул. Сухэ-Батора,3
Генеральный директор Причко О.Н.
Филиал ПАО "Иркутскэнерго" 
Усть-Илимская ТЭЦ
666684 Иркутская область, г.Усть-Илимск-14, а/я 330 тел. (39535) 9 53 59
Директор филиала Кровушкин А.В.</t>
  </si>
  <si>
    <t>Изготовление и монтаж каркасного здания котельной</t>
  </si>
  <si>
    <t>Электромонтажные, пусконаладочные работы и монтаж технологического оборудования Цеха ремонта и чистки ковшей (ЦРЧК).</t>
  </si>
  <si>
    <t>Монтаж технологического оборудования в полном объеме</t>
  </si>
  <si>
    <t xml:space="preserve">Монтаж внутренних промышленных трубопроводов, водопроводов и канализации, отопления и вентиляции 
</t>
  </si>
  <si>
    <t xml:space="preserve">Монтаж систем вентиляции и аспирации  </t>
  </si>
  <si>
    <t>Монтаж монорельсов и грузоподъемных механизмов</t>
  </si>
  <si>
    <t>Монтаж выносной системы охлаждения трансформаторов</t>
  </si>
  <si>
    <t>Монтаж и пусконаладочные  работы силового оборудования Богучанской ГЭС</t>
  </si>
  <si>
    <t>ОАО «Богучанская ГЭС» в лице ЗАО «Организатор строительства Богучанской ГЭС» 663491, г. Кодинск, стройбаза левого берега. Зд. 1, объединённая база №1, а/я 29, Тел.(39143)7-13-40, Факс (39143) 7-13-39 
Генеральный директор Упоров В.А.</t>
  </si>
  <si>
    <t>017-306-15 от 27.04.2015</t>
  </si>
  <si>
    <t>Капитальный ремонт катодов электролизеров БГК-50/60 в количестве четырех штук Хлорного производства филиала ОАО "Группа Илим" в г.Братске</t>
  </si>
  <si>
    <t>Ремонт катодов электролизеров</t>
  </si>
  <si>
    <t>Реконструкция сегментного затвора водосливной секции бетонной плотины для обеспечения бесперебойного маневрирования в период отрицательных температур №5</t>
  </si>
  <si>
    <t>Модернизация шатров надземной части галереи ЛК-6 (инв№02001203), ЛК-8 (инв№02001205" УИТЭЦ в г. Усть-Илимск</t>
  </si>
  <si>
    <t xml:space="preserve">Ремонт вентиляционных заслонок кабельного полуэтажа отм. 8м ГК </t>
  </si>
  <si>
    <t>Монтаж оборудования КРУЭ, КПП1, ГПП и шинопроводов постоянного тока.</t>
  </si>
  <si>
    <t xml:space="preserve">монтаж системы отопления; 
системы вентиляции и аспирации; 
системы воздухоснабжения;  трубопроводов подачи аргона
</t>
  </si>
  <si>
    <t>Богучанская ГЭС, г.Кодинск, Красноярский край</t>
  </si>
  <si>
    <t>Изготовление металлических конструкции для  здания котельной в п.Новодолоново Братского района (первый этап работ).</t>
  </si>
  <si>
    <t>Изготовление и монтаж шинопроводов постоянного тока</t>
  </si>
  <si>
    <t>Реконструкция оборудования режима синхронной компенсации гидрогенераторов, инв. №00043203</t>
  </si>
  <si>
    <t xml:space="preserve">Рогунская ГЭС
Республика Таджикистан, г. Рогун </t>
  </si>
  <si>
    <t>Заказчик: ОАО Рогунская ГЭС 
Генподрядчик: ОАО «Точикгидроэлектромонтаж»
734060, Республика Таджикистан, г. Душанбе, ул. Н. Хувайдуллоева, д. 377/1
Генеральный директор Сафаров И.Д.</t>
  </si>
  <si>
    <t xml:space="preserve"> 6 от 13.07.2018 </t>
  </si>
  <si>
    <t>Монтаж токопроводов генераторного напряжения ТЭНЕ-24-26000-560 УХЛ4.1 и ТЭНЕ-24-2000-850 УХЛ1 гидроагрегата №6 Рогунской ГЭС</t>
  </si>
  <si>
    <t>07.2018</t>
  </si>
  <si>
    <t>09.2018</t>
  </si>
  <si>
    <t>Монтаж токопроводов</t>
  </si>
  <si>
    <t>Богучанский Алюминиевый Завод 
п. Таёжный,  Красноярский край</t>
  </si>
  <si>
    <t>Администрация муниципального образования «Братский район»
Юридический адрес: 665770, Иркутская область, Братский район, г. Вихоревка, 
ул. Дзержинского, 105.
Почтовый адрес: 665717, Иркутская область,  г. Братск, ул. Комсомольская, 28А.
Тел. +7(3953) 41-21-70,  +7(3953) 41-21-75
Мэр Братского района А.С. Баловнев</t>
  </si>
  <si>
    <t>ОАО "Группа Илим"
191025, г. Санкт-Петербург, ул. Марата,17,
Филиал  ОАО "Группа Илим" в г. Братске, 665718, РФ, Иркутская обл., г. Братск
Тел: (3953) 340106</t>
  </si>
  <si>
    <t>Реконструкция котельной №2 г.Елизово со строительством дополнительного газового энергоблока каркасного типа с блочным расположением оборудования с передачей нагрузок котельных №1 и №3. Первый пусковой комплекс</t>
  </si>
  <si>
    <t>Монтаж отопления; устройство теплового пункта; монтаж воздухоснабжения; монтаж трубопроводов аргона; устройство внутренних сетей водоснабжения и канализации Анодно-монтажного отделения (АМО)</t>
  </si>
  <si>
    <t>Объем СМР по разделу "Монтаж технологического оборудования", тыс. руб. без НДС</t>
  </si>
  <si>
    <t xml:space="preserve">Дата окончания </t>
  </si>
  <si>
    <t>Группа Илим
г. Братск, Иркутская область</t>
  </si>
  <si>
    <t>Группа Илим,                                                   г. Усть-Илимск, Иркутская область</t>
  </si>
  <si>
    <t>Заказчик: ОАО "Группа Илим"
191025, г. Санкт-Петербург, ул. Марата,17,
Филиал  ОАО "Группа Илим" в г. Усть-Илимске                                                                                    666684, Иркутская область, г. Усть-Илимск, промышленная площадка ЛПК
тел. (39535) 93196                                                Директор по закупкам Стороженко С.А.</t>
  </si>
  <si>
    <t xml:space="preserve">SP0467 от 24.09.2018 </t>
  </si>
  <si>
    <t>Комплекс электромонтажных, строительных и пусконаладочных работ по проекту "Техническое перевооружение содорегенерационного котла СРК-1400 ст. № 3" по адресу : филиал АО "Группа "Илим" в г. Усть-Илимске</t>
  </si>
  <si>
    <t>04.2019</t>
  </si>
  <si>
    <t>Группа Илим,
г. Братск, Иркутская область</t>
  </si>
  <si>
    <t>АО "Группа "Илим"
191025, г. Санкт-Петербург, ул. Марата,17,
Филиал АО "Группа "Илим" в г. Братске, 665718, Иркутская обл., г. Братск
тел: (3953) 340649                                                Директор филиала Паньшин А.В.</t>
  </si>
  <si>
    <t>010-092-19 от 23.01.2019</t>
  </si>
  <si>
    <t xml:space="preserve">Электромонтажные работы по переносу расходных баков крепкого белого щелока,  для реализации инвестиционного проекта "Строительство нового бакового хозяйства УКРИ"  ПХиЛ ПРиЭ. </t>
  </si>
  <si>
    <t>12.2018</t>
  </si>
  <si>
    <t>01.2019</t>
  </si>
  <si>
    <t>Олимпиаднинский ГОК, Красноярский край</t>
  </si>
  <si>
    <t>Заказчик: ПАО "Полюс"                            123056, г. Москва, ул. Красина, д. 3, стр.1       тел: (495) 641-33-77 в лице                                  АО "Полюс Красноярск"                                  660061, г.Красноярск, ул. Цимлянская, 37        тел: (391) 290 61 03                                                Директор по управлению проектами и строительству Зырянов Д.А.</t>
  </si>
  <si>
    <t>ПК739-20 от 23.09.2020</t>
  </si>
  <si>
    <t>СМР и ПНР на объекте: «Техническое перевооружение ОПО «Площадка обогащения сырья. Главный корпус-2 ЗИФ-3. Замена мельницы М-25»</t>
  </si>
  <si>
    <t>09.2020</t>
  </si>
  <si>
    <t>04.2021</t>
  </si>
  <si>
    <t>Монтаж технологического оборудования СРК-1400</t>
  </si>
  <si>
    <t>Замена мельницы М-25</t>
  </si>
  <si>
    <t>Заказчик: АО "Группа "Илим"
191025, г. Санкт-Петербург, ул. Марата,17,
Филиал АО "Группа "Илим" в г. Братске, 665718, Иркутская обл., г. Братск
тел: (3953) 340649                                                    Директор филиала Ванчуков А.И.</t>
  </si>
  <si>
    <t>010-816-21/БФ-6/19 от 21.06.2021</t>
  </si>
  <si>
    <t>Отключение и подключение шин после ремонта на турбогенераторе на КТЦ ПриЭ; ПНР после проведения ремонта на турбогенераторе КТЦ и ПриЭ филиала АО "Группа "Илим" в г.Братске</t>
  </si>
  <si>
    <t>06.2021</t>
  </si>
  <si>
    <t xml:space="preserve">Участок "Нежданинский", 
Республика Саха (Якутия), Томпонский район </t>
  </si>
  <si>
    <t>Заказчик: Акционерное общество «Южно-Верхоянская Горнодобывающая Компания» (АО «ЮВГК») 
677000, Республика Саха (Якутия), г. Якутск, ул. Дзержинского, д.23                                              Управляющий директор Симон А.В.</t>
  </si>
  <si>
    <t>ЮВГК 2(01-1-0768) от 02.08.2021</t>
  </si>
  <si>
    <t>Выполнение электромонтажных работ с проведением замеров на объектах АО "ЮВГК" участок "Нежданинский" - Главный корпус обогатительной фабрики; Рудоподготовительный комплекс; Склад химических реагентов; Склад ГСМ; Склад концентратов.</t>
  </si>
  <si>
    <t>08.2021</t>
  </si>
  <si>
    <t xml:space="preserve">12.2021
</t>
  </si>
  <si>
    <t xml:space="preserve">Группа Илим филиал в г. Усть-Илимске,
г. Усть-Илимск, Иркутская область </t>
  </si>
  <si>
    <t>Заказчик: АО "Группа "Илим"
191025, г. Санкт-Петербург, ул. Марата,17,
Филиал АО "Группа "Илим" в г. Усть-Илимске, 666684, РФ, Иркутская обл., г. Усть-Илимск, промышленная площадка ЛПК
Тел. (39535)93194                                Директор по закупкам Стороженко С.А.</t>
  </si>
  <si>
    <t xml:space="preserve">SP1624-БФ-6/19 от 19.08.2021 </t>
  </si>
  <si>
    <t>Выполнение ЭМР по электротехнической части, КИПиА и АСУТП, пожарной автоматике по проекту: "Строительство ЦКК в г. Усть-Илимске"</t>
  </si>
  <si>
    <t>09.2022</t>
  </si>
  <si>
    <t xml:space="preserve">Усть-Среднеканская ГЭС, 
п. Синегорье, Магаданская область
</t>
  </si>
  <si>
    <t>Заказчик: Акционерное общество «АО «Усть-СреднеканГЭСстрой» (АО «Усть-СреднеканГЭСстрой»)                                          Место нахождения: РФ, 685918, г. Магадан, пгт. Уптар, ул. Усть-Илимская, д. 3.
Почтовый адрес: РФ, 680017, г. Хабаровск, ул. Ленина, д.57 лит. А, эт.4 пом. VI
Директор обособленного подразделения в г. Советская Гавань Зырянов Д.С.</t>
  </si>
  <si>
    <t>364ед/2022 от 23.04.2022</t>
  </si>
  <si>
    <t xml:space="preserve">Полный комплекс работ по монтажу электротехнического оборудования, электроснабжения, систем автоматизации, выполнение пусконаладочных работ необходимых для ввода в работу ГА№4 в рамках строительства Усть-Среднеканской ГЭС </t>
  </si>
  <si>
    <t>04.2022</t>
  </si>
  <si>
    <t>07.2023</t>
  </si>
  <si>
    <t xml:space="preserve">Участок Нежданинский, 
Республика Саха (Якутия) 
</t>
  </si>
  <si>
    <t>Заказчик: Акционерное общество «Южно-Верхоянская Горнодобывающая Компания» (АО «ЮВГК»)                                           677000, Республика Саха (Якутия), г. Якутск, ул. Дзержинского, д.23
Управляющий директор Симон А.В.</t>
  </si>
  <si>
    <t>ЮВГК 2(01-1-0880) от 25.05.2022 доп.согл1-2</t>
  </si>
  <si>
    <t>Работы по автоматизации систем управления отопления и вентиляции на объекте – "Корпус очистки оборотной воды"</t>
  </si>
  <si>
    <t>05.2022</t>
  </si>
  <si>
    <t>11.2022</t>
  </si>
  <si>
    <t>Олимпиадинский ГОК, Красноярский край</t>
  </si>
  <si>
    <t xml:space="preserve">Заказчик: ПАО "Полюс"                            123056, г. Москва, ул. Красина, д. 3, стр.1       тел: (495) 641-33-77 в лице                                  АО "Полюс Красноярск"                                  660061, г.Красноярск, ул. Цимлянская, 37        тел: (391) 290 61 03                                                                                         </t>
  </si>
  <si>
    <t xml:space="preserve">ПК548-22 от 24.05.2022 </t>
  </si>
  <si>
    <t>Строительно-монтажные работы по объекту: "Корпус приготовления реагентов № 2 Олимпиадинский ГОК" ( КПР-2)</t>
  </si>
  <si>
    <t>03.2023</t>
  </si>
  <si>
    <t xml:space="preserve">Заказчик: ПАО "Полюс"                            123056, г. Москва, ул. Красина, д. 3, стр.1       тел: (495) 641-33-77 в лице                                  АО "Полюс Красноярск"                                  660061, г.Красноярск, ул. Цимлянская, 37        тел: (391) 290 61 03                                               </t>
  </si>
  <si>
    <t>ПК748-22 от 20.06.2022 
 доп.согл 1-2</t>
  </si>
  <si>
    <t>Расширение БИО-2 на 4 биореактора</t>
  </si>
  <si>
    <t>06.2022</t>
  </si>
  <si>
    <t>05.2023</t>
  </si>
  <si>
    <t xml:space="preserve">Тайшетская анодная фабрика, г.Тайшет, Иркутская область  
</t>
  </si>
  <si>
    <t>Заказчик: Общество с ограниченной ответственностью ОК "РУСАЛ Анодная фабрика"  
РФ, 665003, Иркутская обл., Тайшетский р-н, промплощадка ТаАЗ.                               Генеральный директор ООО "ОК РУСАЛ Промтехразвитие" Бенц В.А.</t>
  </si>
  <si>
    <t>ПТР-Д-22-333 от 05.07.2022</t>
  </si>
  <si>
    <t>Электромонтажные и пусконаладочные работы двухцепного токопровода 10 кВ с воздушной изоляцией. Второй этап строительства Тайшетской Анодной фабрики</t>
  </si>
  <si>
    <t>07.2022</t>
  </si>
  <si>
    <t>04.2023</t>
  </si>
  <si>
    <t>Талнахская обогатительная фабрика, г. Норильск</t>
  </si>
  <si>
    <t xml:space="preserve">Заказчик: Общество с ограниченной ответственность «Промышленная строительно-монтажная компания» (ООО «ПСМК»)                                                         РФ, 663316, Красноярский край, город Норильск, улица Октябрьская, дом 14                                                     Генеральный директор Лямцев П.Е.
</t>
  </si>
  <si>
    <t>2691/22 от 19.12.2022</t>
  </si>
  <si>
    <t>Реконструкция и техническое перевооружение ТОФ с увеличением мощности. Корректировка 3 Пускового кмплекса</t>
  </si>
  <si>
    <t>12.2022</t>
  </si>
  <si>
    <t>26</t>
  </si>
  <si>
    <t xml:space="preserve">Отключение и подключение шин после ремонта на турбогенераторе </t>
  </si>
  <si>
    <t xml:space="preserve">Заказчик: ПАО "Полюс"                            123056, г. Москва, ул. Красина, д. 3, стр.1       тел: (495) 641-33-77 в лице                                  АО "Полюс Красноярск"                                  660061, г.Красноярск, ул. Цимлянская, 37        тел: (391) 290 61 03                                             Подрядчик: ООО "КМУ ГЭМ"                         РФ, 660098, г. Красноярск, ул. Алексеева,17 пом.377                                                         Директор Волошин А.А.
       </t>
  </si>
  <si>
    <t>8 от 28.12.2022</t>
  </si>
  <si>
    <t>Монтаж металлоконструкций на объекте Олимпиадинский ГОК</t>
  </si>
  <si>
    <t>Монтаж металлоконструкций</t>
  </si>
  <si>
    <t xml:space="preserve">Тайшетский алюминиевый завод, г.Тайшет, Иркутская область  </t>
  </si>
  <si>
    <t xml:space="preserve">Заказчик: Общество с ограниченной ответственностью "РУСАЛ Тайшетский Алюминиевый Завод" (ООО РУСАЛ Тайшет") в лице Юшманова А.В.
РФ, 665023, Иркутская обл., Тайшетский р-н, с.Старый Алькушет, ул.Советская, д.42   </t>
  </si>
  <si>
    <t>446С001С1143 
от 25.01.2023
доп.согл.1-2</t>
  </si>
  <si>
    <t>Работы в рамках по КП 14-C326 «Монтаж сетей автоматизации от ПСУ1 до Миксеров № 3, 4 и Металлотракта. ПНР ВЛМ № 1, миксеров № 3, 4 (115 тн.), технологического оборудования комплекса плоских слитков № 1»</t>
  </si>
  <si>
    <t>01.2023</t>
  </si>
  <si>
    <t>09.2023</t>
  </si>
  <si>
    <t>Приемно-сдаточный пункт ООО "Саханефть"с подключением к НПС №12 трубопроводной системы "Восточная Сибирь-Тихий океан", Республика Саха (Якутия)</t>
  </si>
  <si>
    <t>Заказчик:  Общество с ограниченной ответственностью «Иркутская нефтяная компания» (ООО «ИНК»)                                   664000, г.Иркутск, пр. Большой Литейный, 4  Генеральный директор: Седых М.В.                                                Подрядчик: ООО «Байкальский электромонтажный завод» (ООО «БЭМЗ»)  666037, Иркутская область, м.р-н Шелеховский, г.п. Шелеховское, г. Шелехов, пр-кт Строителей и монтажников, 16А.
Телефон 7 (39550) 6-21-27                  Генеральный директор Ревякин А.В.</t>
  </si>
  <si>
    <t>220Д-111П-3010 от 08.06.2023</t>
  </si>
  <si>
    <t xml:space="preserve">Работы по монтажу инженерных сетей: системы вентиляции и кондиционирования; сети сигнализации и связи; системы электроснабжения блочно-модульного здания операторной на объекте: «Приёмо-сдаточный пункт ООО «Саханефть» операторная» </t>
  </si>
  <si>
    <t>06.2023</t>
  </si>
  <si>
    <t>Золотоизвлекательная фабрика Полюс Алдан, Республика Саха (Якутия)</t>
  </si>
  <si>
    <t xml:space="preserve">Заказчик: АО "Полюс Алдан" 
Подрядчик ООО "Полюс Строй"
660075, г Красноярск, ул. Маерчака,10 пом.196
Тел/факс: 8(391) 219-17-37
Управляющий директор Никифоров И.Г. </t>
  </si>
  <si>
    <t>ПС406-23 от 25.07.2023              доп согл.1</t>
  </si>
  <si>
    <t>Комплекс работ по проекту "Техническое перевооружение ЗИФ АО "Полюс Алдан" на производительность до 7,5 млн.т.год"</t>
  </si>
  <si>
    <t>07.2024</t>
  </si>
  <si>
    <t>Монтаж сетей автоматизации от ПСУ1 до Миксеров № 3, 4 и Металлотракта. ПНР ВЛМ № 1, миксеров № 3, 4 (115 тн.), технологического оборудования комплекса плоских слитков № 1</t>
  </si>
  <si>
    <t xml:space="preserve">Работы по монтажу инженерных сетей: системы вентиляции и кондиционирования; сети сигнализации и связи; системы электроснабжения блочно-модульного здания операторной </t>
  </si>
  <si>
    <t xml:space="preserve">Тайшетская анодная фабрика, Иркутская область, г. Тайшет
</t>
  </si>
  <si>
    <t>ПТР-Д-24-289 
от 18.04.2024
доп.согл 2-3</t>
  </si>
  <si>
    <t>Работы по изготовлению и монтажу металлоконструкций кабельных конструкций на объекте Заказчика: "Смесительно-прессовое отделение (СПО). Участок производства "зелёных" анодов" (Код ИСР - 150402), 3-й этап строительства Тайшетской Анодной фабрики</t>
  </si>
  <si>
    <t>04.2024</t>
  </si>
  <si>
    <t>12.2025</t>
  </si>
  <si>
    <t>Хабаровская ТЭЦ-4, г. Хабаровск</t>
  </si>
  <si>
    <t>Заказчик: АО «УК ГидроОГК»                       Генпордядчик: АО "Усть-СреднеканГЭСстрой"    680017, г.Хабаровск, ул. Ленина,57, лит А, пом.4. Директор филиала в Хабаровске Кузьмин А.Р.</t>
  </si>
  <si>
    <t>3.02.2.03.1.2024.1110 от 18.09.2024</t>
  </si>
  <si>
    <t>Комплекс электромонтажных работ по устройству комплекса теплофикационной установки и автоматизации верхнего и нижнего уровня 2 этапа в рамках комплекса генпорядных работ по реализации проекта "Строительство Хабаровской ТЭЦ-4 с внеплощадочной инфраструктурой"</t>
  </si>
  <si>
    <t>09.2024</t>
  </si>
  <si>
    <t>Устройство комплекса теплофикационной установки (КТФУ), систем газового хозяйства, а также создание систем автоматизации верхнего и нижнего уровня второго этапа строительства</t>
  </si>
  <si>
    <t>Опыт выполнения работ по Монтажу технологического оборудования за период с 2009 по 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</si>
</sst>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Courier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28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3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4" fillId="3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 indent="1"/>
    </xf>
    <xf numFmtId="49" fontId="1" fillId="0" borderId="6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6" xfId="1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left" vertical="top" indent="1"/>
    </xf>
    <xf numFmtId="0" fontId="1" fillId="0" borderId="6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/>
    <xf numFmtId="49" fontId="2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1" fillId="0" borderId="7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49" fontId="2" fillId="0" borderId="2" xfId="0" applyNumberFormat="1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49" fontId="2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 inden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 indent="1"/>
    </xf>
    <xf numFmtId="3" fontId="1" fillId="0" borderId="4" xfId="0" applyNumberFormat="1" applyFont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 indent="1"/>
    </xf>
    <xf numFmtId="49" fontId="1" fillId="0" borderId="4" xfId="0" applyNumberFormat="1" applyFont="1" applyFill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3" fontId="1" fillId="0" borderId="4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 indent="1"/>
    </xf>
    <xf numFmtId="3" fontId="1" fillId="0" borderId="4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 wrapText="1" indent="1"/>
    </xf>
    <xf numFmtId="49" fontId="2" fillId="0" borderId="10" xfId="0" applyNumberFormat="1" applyFont="1" applyBorder="1" applyAlignment="1">
      <alignment horizontal="left" vertical="top" wrapText="1" indent="1"/>
    </xf>
    <xf numFmtId="49" fontId="2" fillId="0" borderId="9" xfId="0" applyNumberFormat="1" applyFont="1" applyBorder="1" applyAlignment="1">
      <alignment horizontal="left" vertical="top" wrapText="1" indent="1"/>
    </xf>
    <xf numFmtId="49" fontId="1" fillId="0" borderId="9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3" fontId="3" fillId="0" borderId="4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indent="1"/>
    </xf>
    <xf numFmtId="0" fontId="1" fillId="0" borderId="1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2" fontId="1" fillId="0" borderId="9" xfId="0" applyNumberFormat="1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 indent="1"/>
    </xf>
    <xf numFmtId="49" fontId="2" fillId="4" borderId="6" xfId="0" applyNumberFormat="1" applyFont="1" applyFill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9" fillId="0" borderId="2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center" vertical="top" wrapText="1"/>
    </xf>
    <xf numFmtId="49" fontId="2" fillId="5" borderId="6" xfId="0" applyNumberFormat="1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 indent="1"/>
    </xf>
    <xf numFmtId="49" fontId="9" fillId="0" borderId="2" xfId="0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49" fontId="2" fillId="5" borderId="6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0" xfId="0" applyFont="1" applyFill="1" applyAlignment="1">
      <alignment horizontal="left" indent="1"/>
    </xf>
    <xf numFmtId="0" fontId="11" fillId="0" borderId="0" xfId="0" applyFont="1" applyFill="1"/>
    <xf numFmtId="0" fontId="11" fillId="0" borderId="1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top" wrapText="1" indent="1"/>
    </xf>
    <xf numFmtId="0" fontId="3" fillId="0" borderId="5" xfId="0" applyFont="1" applyFill="1" applyBorder="1"/>
    <xf numFmtId="3" fontId="3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top" wrapText="1" indent="1"/>
    </xf>
    <xf numFmtId="49" fontId="3" fillId="6" borderId="1" xfId="0" applyNumberFormat="1" applyFont="1" applyFill="1" applyBorder="1" applyAlignment="1">
      <alignment horizontal="left" vertical="top" wrapText="1" indent="1"/>
    </xf>
    <xf numFmtId="49" fontId="1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left" vertical="top" wrapText="1" indent="1"/>
    </xf>
    <xf numFmtId="0" fontId="3" fillId="6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 vertical="top" wrapText="1"/>
    </xf>
    <xf numFmtId="3" fontId="1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1"/>
    </xf>
    <xf numFmtId="0" fontId="11" fillId="0" borderId="1" xfId="0" applyFont="1" applyFill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1"/>
    </xf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top" indent="1"/>
    </xf>
    <xf numFmtId="0" fontId="2" fillId="0" borderId="1" xfId="0" applyFont="1" applyFill="1" applyBorder="1" applyAlignment="1">
      <alignment horizontal="left" vertical="top" indent="1"/>
    </xf>
    <xf numFmtId="0" fontId="3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left" vertical="top" wrapText="1" inden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 indent="1"/>
    </xf>
    <xf numFmtId="0" fontId="3" fillId="0" borderId="1" xfId="1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indent="1"/>
    </xf>
    <xf numFmtId="3" fontId="3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1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2" fontId="1" fillId="0" borderId="2" xfId="0" applyNumberFormat="1" applyFont="1" applyBorder="1" applyAlignment="1">
      <alignment horizontal="left" vertical="top" wrapText="1" indent="1"/>
    </xf>
    <xf numFmtId="2" fontId="1" fillId="0" borderId="6" xfId="0" applyNumberFormat="1" applyFont="1" applyBorder="1" applyAlignment="1">
      <alignment horizontal="left" vertical="top" wrapText="1" indent="1"/>
    </xf>
    <xf numFmtId="2" fontId="1" fillId="0" borderId="4" xfId="0" applyNumberFormat="1" applyFont="1" applyBorder="1" applyAlignment="1">
      <alignment horizontal="left" vertical="top" wrapText="1" indent="1"/>
    </xf>
    <xf numFmtId="0" fontId="2" fillId="0" borderId="0" xfId="0" applyFont="1" applyAlignment="1">
      <alignment horizontal="left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left" vertical="top" wrapText="1" inden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top" wrapText="1" indent="1"/>
    </xf>
    <xf numFmtId="0" fontId="9" fillId="0" borderId="1" xfId="0" applyFont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 indent="1"/>
    </xf>
    <xf numFmtId="0" fontId="12" fillId="0" borderId="1" xfId="0" applyFont="1" applyBorder="1" applyAlignment="1">
      <alignment horizontal="left" vertical="top" indent="1"/>
    </xf>
    <xf numFmtId="1" fontId="12" fillId="0" borderId="1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_октябрь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5"/>
  <sheetViews>
    <sheetView topLeftCell="A222" zoomScale="110" zoomScaleNormal="110" workbookViewId="0">
      <selection activeCell="B69" sqref="B69"/>
    </sheetView>
  </sheetViews>
  <sheetFormatPr defaultColWidth="9.140625" defaultRowHeight="12" x14ac:dyDescent="0.2"/>
  <cols>
    <col min="1" max="1" width="5.140625" style="1" customWidth="1"/>
    <col min="2" max="2" width="29.5703125" style="1" customWidth="1"/>
    <col min="3" max="3" width="35.7109375" style="1" customWidth="1"/>
    <col min="4" max="4" width="9.140625" style="1" customWidth="1"/>
    <col min="5" max="5" width="10.42578125" style="1" customWidth="1"/>
    <col min="6" max="6" width="12.42578125" style="1" customWidth="1"/>
    <col min="7" max="7" width="11.42578125" style="1" customWidth="1"/>
    <col min="8" max="8" width="38.28515625" style="1" customWidth="1"/>
    <col min="9" max="9" width="9.85546875" style="1" customWidth="1"/>
    <col min="10" max="10" width="20.42578125" style="1" customWidth="1"/>
    <col min="11" max="16384" width="9.140625" style="1"/>
  </cols>
  <sheetData>
    <row r="2" spans="1:10" x14ac:dyDescent="0.2">
      <c r="B2" s="268" t="s">
        <v>39</v>
      </c>
      <c r="C2" s="268"/>
      <c r="D2" s="268"/>
      <c r="E2" s="268"/>
      <c r="F2" s="268"/>
      <c r="G2" s="268"/>
      <c r="H2" s="268"/>
      <c r="I2" s="268"/>
    </row>
    <row r="3" spans="1:10" x14ac:dyDescent="0.2">
      <c r="B3" s="268" t="s">
        <v>40</v>
      </c>
      <c r="C3" s="268"/>
      <c r="D3" s="268"/>
      <c r="E3" s="268"/>
      <c r="F3" s="268"/>
      <c r="G3" s="268"/>
      <c r="H3" s="268"/>
      <c r="I3" s="268"/>
    </row>
    <row r="4" spans="1:10" x14ac:dyDescent="0.2">
      <c r="B4" s="268" t="s">
        <v>41</v>
      </c>
      <c r="C4" s="268"/>
      <c r="D4" s="268"/>
      <c r="E4" s="268"/>
      <c r="F4" s="268"/>
      <c r="G4" s="268"/>
      <c r="H4" s="268"/>
      <c r="I4" s="268"/>
    </row>
    <row r="5" spans="1:10" ht="15.6" customHeight="1" x14ac:dyDescent="0.2">
      <c r="B5" s="143"/>
      <c r="C5" s="143"/>
      <c r="D5" s="143"/>
      <c r="E5" s="143"/>
      <c r="F5" s="10">
        <v>1</v>
      </c>
      <c r="G5" s="143"/>
      <c r="H5" s="143"/>
      <c r="I5" s="143"/>
    </row>
    <row r="6" spans="1:10" ht="25.5" customHeight="1" x14ac:dyDescent="0.2">
      <c r="A6" s="269" t="s">
        <v>65</v>
      </c>
      <c r="B6" s="269" t="s">
        <v>0</v>
      </c>
      <c r="C6" s="271" t="s">
        <v>807</v>
      </c>
      <c r="D6" s="273" t="s">
        <v>1</v>
      </c>
      <c r="E6" s="273"/>
      <c r="F6" s="273" t="s">
        <v>43</v>
      </c>
      <c r="G6" s="273"/>
      <c r="H6" s="273" t="s">
        <v>44</v>
      </c>
      <c r="I6" s="273" t="s">
        <v>45</v>
      </c>
    </row>
    <row r="7" spans="1:10" ht="56.45" customHeight="1" x14ac:dyDescent="0.2">
      <c r="A7" s="270"/>
      <c r="B7" s="270"/>
      <c r="C7" s="272"/>
      <c r="D7" s="144" t="s">
        <v>2</v>
      </c>
      <c r="E7" s="22" t="s">
        <v>42</v>
      </c>
      <c r="F7" s="144" t="s">
        <v>3</v>
      </c>
      <c r="G7" s="144" t="s">
        <v>33</v>
      </c>
      <c r="H7" s="273"/>
      <c r="I7" s="273"/>
      <c r="J7" s="1" t="s">
        <v>346</v>
      </c>
    </row>
    <row r="8" spans="1:10" ht="11.45" customHeight="1" x14ac:dyDescent="0.2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</row>
    <row r="9" spans="1:10" ht="40.5" customHeight="1" x14ac:dyDescent="0.2">
      <c r="A9" s="25" t="s">
        <v>116</v>
      </c>
      <c r="B9" s="94" t="s">
        <v>834</v>
      </c>
      <c r="C9" s="265" t="s">
        <v>117</v>
      </c>
      <c r="D9" s="18"/>
      <c r="E9" s="18"/>
      <c r="F9" s="146"/>
      <c r="G9" s="146"/>
      <c r="H9" s="141"/>
      <c r="I9" s="14"/>
    </row>
    <row r="10" spans="1:10" ht="60" x14ac:dyDescent="0.2">
      <c r="A10" s="16" t="s">
        <v>66</v>
      </c>
      <c r="B10" s="92" t="s">
        <v>835</v>
      </c>
      <c r="C10" s="266"/>
      <c r="D10" s="19" t="s">
        <v>46</v>
      </c>
      <c r="E10" s="19" t="s">
        <v>4</v>
      </c>
      <c r="F10" s="21" t="s">
        <v>852</v>
      </c>
      <c r="G10" s="21" t="e">
        <f>F10-(53737)/1000*$F$5</f>
        <v>#VALUE!</v>
      </c>
      <c r="H10" s="142" t="s">
        <v>47</v>
      </c>
      <c r="I10" s="15"/>
    </row>
    <row r="11" spans="1:10" ht="48" x14ac:dyDescent="0.2">
      <c r="A11" s="16" t="s">
        <v>67</v>
      </c>
      <c r="B11" s="92" t="s">
        <v>242</v>
      </c>
      <c r="C11" s="266"/>
      <c r="D11" s="19" t="s">
        <v>48</v>
      </c>
      <c r="E11" s="19" t="s">
        <v>52</v>
      </c>
      <c r="F11" s="21">
        <f>(3127000/1.18)/1000*$F$5</f>
        <v>2650</v>
      </c>
      <c r="G11" s="21">
        <f>F11-(0)/1000*$F$5</f>
        <v>2650</v>
      </c>
      <c r="H11" s="142" t="s">
        <v>647</v>
      </c>
      <c r="I11" s="15"/>
    </row>
    <row r="12" spans="1:10" ht="36" x14ac:dyDescent="0.2">
      <c r="A12" s="16" t="s">
        <v>68</v>
      </c>
      <c r="B12" s="92" t="s">
        <v>243</v>
      </c>
      <c r="C12" s="266"/>
      <c r="D12" s="19" t="s">
        <v>12</v>
      </c>
      <c r="E12" s="19" t="s">
        <v>49</v>
      </c>
      <c r="F12" s="21">
        <f>(11142291.6/1.18)/1000*$F$5</f>
        <v>9442.6200000000008</v>
      </c>
      <c r="G12" s="21">
        <f>F12-(7388413.6)/1000*$F$5</f>
        <v>2054.2064000000009</v>
      </c>
      <c r="H12" s="142" t="s">
        <v>50</v>
      </c>
      <c r="I12" s="15"/>
    </row>
    <row r="13" spans="1:10" ht="60" x14ac:dyDescent="0.2">
      <c r="A13" s="16" t="s">
        <v>69</v>
      </c>
      <c r="B13" s="92" t="s">
        <v>836</v>
      </c>
      <c r="C13" s="266"/>
      <c r="D13" s="19" t="s">
        <v>51</v>
      </c>
      <c r="E13" s="19" t="s">
        <v>52</v>
      </c>
      <c r="F13" s="21">
        <f>(3600000)/1000*$F$5</f>
        <v>3600</v>
      </c>
      <c r="G13" s="21">
        <f t="shared" ref="G13:G37" si="0">F13-(0)/1000*$F$5</f>
        <v>3600</v>
      </c>
      <c r="H13" s="142" t="s">
        <v>53</v>
      </c>
      <c r="I13" s="15"/>
    </row>
    <row r="14" spans="1:10" ht="36" x14ac:dyDescent="0.2">
      <c r="A14" s="16" t="s">
        <v>70</v>
      </c>
      <c r="B14" s="92" t="s">
        <v>837</v>
      </c>
      <c r="C14" s="266"/>
      <c r="D14" s="19" t="s">
        <v>54</v>
      </c>
      <c r="E14" s="19" t="s">
        <v>25</v>
      </c>
      <c r="F14" s="21">
        <f>(2765753)/1000*$F$5</f>
        <v>2765.7530000000002</v>
      </c>
      <c r="G14" s="21">
        <f>F14-(401097)/1000*$F$5</f>
        <v>2364.6559999999999</v>
      </c>
      <c r="H14" s="142" t="s">
        <v>55</v>
      </c>
      <c r="I14" s="15"/>
    </row>
    <row r="15" spans="1:10" ht="48" x14ac:dyDescent="0.2">
      <c r="A15" s="16" t="s">
        <v>71</v>
      </c>
      <c r="B15" s="92" t="s">
        <v>244</v>
      </c>
      <c r="C15" s="266"/>
      <c r="D15" s="19" t="s">
        <v>56</v>
      </c>
      <c r="E15" s="19" t="s">
        <v>52</v>
      </c>
      <c r="F15" s="21">
        <f>(5000000)/1000*$F$5</f>
        <v>5000</v>
      </c>
      <c r="G15" s="21">
        <f t="shared" si="0"/>
        <v>5000</v>
      </c>
      <c r="H15" s="142" t="s">
        <v>170</v>
      </c>
      <c r="I15" s="15"/>
    </row>
    <row r="16" spans="1:10" ht="36" x14ac:dyDescent="0.2">
      <c r="A16" s="16" t="s">
        <v>72</v>
      </c>
      <c r="B16" s="92" t="s">
        <v>838</v>
      </c>
      <c r="C16" s="266"/>
      <c r="D16" s="19" t="s">
        <v>4</v>
      </c>
      <c r="E16" s="19" t="s">
        <v>7</v>
      </c>
      <c r="F16" s="21">
        <f>(5947000)/1000*$F$5</f>
        <v>5947</v>
      </c>
      <c r="G16" s="21">
        <f>F16-(322033.9)/1000*$F$5</f>
        <v>5624.9660999999996</v>
      </c>
      <c r="H16" s="142" t="s">
        <v>57</v>
      </c>
      <c r="I16" s="15"/>
    </row>
    <row r="17" spans="1:9" ht="24" x14ac:dyDescent="0.2">
      <c r="A17" s="16" t="s">
        <v>73</v>
      </c>
      <c r="B17" s="92" t="s">
        <v>839</v>
      </c>
      <c r="C17" s="266"/>
      <c r="D17" s="19" t="s">
        <v>58</v>
      </c>
      <c r="E17" s="19" t="s">
        <v>58</v>
      </c>
      <c r="F17" s="21">
        <f>(720000)/1000*$F$5</f>
        <v>720</v>
      </c>
      <c r="G17" s="21">
        <f>F17-(128844)/1000*$F$5</f>
        <v>591.15599999999995</v>
      </c>
      <c r="H17" s="142" t="s">
        <v>59</v>
      </c>
      <c r="I17" s="15"/>
    </row>
    <row r="18" spans="1:9" ht="24" x14ac:dyDescent="0.2">
      <c r="A18" s="16" t="s">
        <v>74</v>
      </c>
      <c r="B18" s="92" t="s">
        <v>840</v>
      </c>
      <c r="C18" s="266"/>
      <c r="D18" s="19" t="s">
        <v>60</v>
      </c>
      <c r="E18" s="19" t="s">
        <v>60</v>
      </c>
      <c r="F18" s="21">
        <f>(700000)/1000*$F$5</f>
        <v>700</v>
      </c>
      <c r="G18" s="21">
        <f t="shared" si="0"/>
        <v>700</v>
      </c>
      <c r="H18" s="142" t="s">
        <v>59</v>
      </c>
      <c r="I18" s="15"/>
    </row>
    <row r="19" spans="1:9" ht="24" x14ac:dyDescent="0.2">
      <c r="A19" s="16" t="s">
        <v>75</v>
      </c>
      <c r="B19" s="92" t="s">
        <v>841</v>
      </c>
      <c r="C19" s="266"/>
      <c r="D19" s="19" t="s">
        <v>61</v>
      </c>
      <c r="E19" s="19" t="s">
        <v>61</v>
      </c>
      <c r="F19" s="21">
        <f>(720000)/1000*$F$5</f>
        <v>720</v>
      </c>
      <c r="G19" s="21">
        <f t="shared" si="0"/>
        <v>720</v>
      </c>
      <c r="H19" s="142" t="s">
        <v>59</v>
      </c>
      <c r="I19" s="15"/>
    </row>
    <row r="20" spans="1:9" ht="24" x14ac:dyDescent="0.2">
      <c r="A20" s="16" t="s">
        <v>76</v>
      </c>
      <c r="B20" s="92" t="s">
        <v>842</v>
      </c>
      <c r="C20" s="266"/>
      <c r="D20" s="19" t="s">
        <v>62</v>
      </c>
      <c r="E20" s="19" t="s">
        <v>62</v>
      </c>
      <c r="F20" s="21">
        <f>(730000)/1000*$F$5</f>
        <v>730</v>
      </c>
      <c r="G20" s="21">
        <f t="shared" si="0"/>
        <v>730</v>
      </c>
      <c r="H20" s="142" t="s">
        <v>59</v>
      </c>
      <c r="I20" s="15"/>
    </row>
    <row r="21" spans="1:9" ht="48" x14ac:dyDescent="0.2">
      <c r="A21" s="16" t="s">
        <v>77</v>
      </c>
      <c r="B21" s="92" t="s">
        <v>245</v>
      </c>
      <c r="C21" s="266"/>
      <c r="D21" s="19" t="s">
        <v>16</v>
      </c>
      <c r="E21" s="19" t="s">
        <v>63</v>
      </c>
      <c r="F21" s="21">
        <f>(170917+20177971)/1000*$F$5</f>
        <v>20348.887999999999</v>
      </c>
      <c r="G21" s="21">
        <f>F21-(2286003+6277093)/1000*$F$5</f>
        <v>11785.791999999999</v>
      </c>
      <c r="H21" s="142" t="s">
        <v>64</v>
      </c>
      <c r="I21" s="15"/>
    </row>
    <row r="22" spans="1:9" ht="140.25" customHeight="1" x14ac:dyDescent="0.2">
      <c r="A22" s="16" t="s">
        <v>80</v>
      </c>
      <c r="B22" s="92" t="s">
        <v>246</v>
      </c>
      <c r="C22" s="137" t="s">
        <v>81</v>
      </c>
      <c r="D22" s="19" t="s">
        <v>78</v>
      </c>
      <c r="E22" s="19" t="s">
        <v>7</v>
      </c>
      <c r="F22" s="21">
        <f>(3293513)/1000*$F$5</f>
        <v>3293.5129999999999</v>
      </c>
      <c r="G22" s="21">
        <f t="shared" si="0"/>
        <v>3293.5129999999999</v>
      </c>
      <c r="H22" s="142" t="s">
        <v>79</v>
      </c>
      <c r="I22" s="15"/>
    </row>
    <row r="23" spans="1:9" ht="48" x14ac:dyDescent="0.2">
      <c r="A23" s="16" t="s">
        <v>82</v>
      </c>
      <c r="B23" s="92" t="s">
        <v>247</v>
      </c>
      <c r="C23" s="255" t="s">
        <v>83</v>
      </c>
      <c r="D23" s="19" t="s">
        <v>84</v>
      </c>
      <c r="E23" s="19" t="s">
        <v>7</v>
      </c>
      <c r="F23" s="21">
        <f>(15724959.7)/1000*$F$5</f>
        <v>15724.959699999999</v>
      </c>
      <c r="G23" s="21">
        <f t="shared" si="0"/>
        <v>15724.959699999999</v>
      </c>
      <c r="H23" s="142" t="s">
        <v>85</v>
      </c>
      <c r="I23" s="15"/>
    </row>
    <row r="24" spans="1:9" ht="84" x14ac:dyDescent="0.2">
      <c r="A24" s="16" t="s">
        <v>87</v>
      </c>
      <c r="B24" s="92" t="s">
        <v>247</v>
      </c>
      <c r="C24" s="255"/>
      <c r="D24" s="19" t="s">
        <v>86</v>
      </c>
      <c r="E24" s="19" t="s">
        <v>22</v>
      </c>
      <c r="F24" s="21">
        <f>(13589383)/1000*$F$5</f>
        <v>13589.383</v>
      </c>
      <c r="G24" s="21">
        <f t="shared" si="0"/>
        <v>13589.383</v>
      </c>
      <c r="H24" s="142" t="s">
        <v>109</v>
      </c>
      <c r="I24" s="15"/>
    </row>
    <row r="25" spans="1:9" ht="72" x14ac:dyDescent="0.2">
      <c r="A25" s="16" t="s">
        <v>88</v>
      </c>
      <c r="B25" s="92" t="s">
        <v>118</v>
      </c>
      <c r="C25" s="255"/>
      <c r="D25" s="19" t="s">
        <v>91</v>
      </c>
      <c r="E25" s="24" t="s">
        <v>92</v>
      </c>
      <c r="F25" s="21">
        <f>(9015373)/1000*$F$5</f>
        <v>9015.3729999999996</v>
      </c>
      <c r="G25" s="21">
        <f t="shared" si="0"/>
        <v>9015.3729999999996</v>
      </c>
      <c r="H25" s="142" t="s">
        <v>110</v>
      </c>
      <c r="I25" s="15"/>
    </row>
    <row r="26" spans="1:9" ht="48" x14ac:dyDescent="0.2">
      <c r="A26" s="16" t="s">
        <v>89</v>
      </c>
      <c r="B26" s="92" t="s">
        <v>247</v>
      </c>
      <c r="C26" s="255"/>
      <c r="D26" s="19" t="s">
        <v>93</v>
      </c>
      <c r="E26" s="24" t="s">
        <v>94</v>
      </c>
      <c r="F26" s="21">
        <f>(21058242)/1000*$F$5</f>
        <v>21058.241999999998</v>
      </c>
      <c r="G26" s="21">
        <f t="shared" si="0"/>
        <v>21058.241999999998</v>
      </c>
      <c r="H26" s="142" t="s">
        <v>108</v>
      </c>
      <c r="I26" s="15"/>
    </row>
    <row r="27" spans="1:9" ht="60" x14ac:dyDescent="0.2">
      <c r="A27" s="16" t="s">
        <v>90</v>
      </c>
      <c r="B27" s="92" t="s">
        <v>247</v>
      </c>
      <c r="C27" s="255"/>
      <c r="D27" s="19" t="s">
        <v>60</v>
      </c>
      <c r="E27" s="19" t="s">
        <v>95</v>
      </c>
      <c r="F27" s="21">
        <f>(2279276)/1000*$F$5</f>
        <v>2279.2759999999998</v>
      </c>
      <c r="G27" s="21">
        <f t="shared" si="0"/>
        <v>2279.2759999999998</v>
      </c>
      <c r="H27" s="142" t="s">
        <v>111</v>
      </c>
      <c r="I27" s="15"/>
    </row>
    <row r="28" spans="1:9" ht="48" x14ac:dyDescent="0.2">
      <c r="A28" s="16" t="s">
        <v>96</v>
      </c>
      <c r="B28" s="92" t="s">
        <v>247</v>
      </c>
      <c r="C28" s="255"/>
      <c r="D28" s="19" t="s">
        <v>95</v>
      </c>
      <c r="E28" s="19" t="s">
        <v>9</v>
      </c>
      <c r="F28" s="21">
        <f>(1136955)/1000*$F$5</f>
        <v>1136.9549999999999</v>
      </c>
      <c r="G28" s="21">
        <f t="shared" si="0"/>
        <v>1136.9549999999999</v>
      </c>
      <c r="H28" s="142" t="s">
        <v>112</v>
      </c>
      <c r="I28" s="15"/>
    </row>
    <row r="29" spans="1:9" ht="84" x14ac:dyDescent="0.2">
      <c r="A29" s="16" t="s">
        <v>97</v>
      </c>
      <c r="B29" s="92" t="s">
        <v>247</v>
      </c>
      <c r="C29" s="255"/>
      <c r="D29" s="19" t="s">
        <v>101</v>
      </c>
      <c r="E29" s="24" t="s">
        <v>102</v>
      </c>
      <c r="F29" s="21">
        <f>(8510364)/1000*$F$5</f>
        <v>8510.3639999999996</v>
      </c>
      <c r="G29" s="21">
        <f t="shared" si="0"/>
        <v>8510.3639999999996</v>
      </c>
      <c r="H29" s="142" t="s">
        <v>113</v>
      </c>
      <c r="I29" s="15"/>
    </row>
    <row r="30" spans="1:9" ht="41.25" customHeight="1" x14ac:dyDescent="0.2">
      <c r="A30" s="16" t="s">
        <v>98</v>
      </c>
      <c r="B30" s="92" t="s">
        <v>247</v>
      </c>
      <c r="C30" s="255"/>
      <c r="D30" s="19" t="s">
        <v>103</v>
      </c>
      <c r="E30" s="19" t="s">
        <v>104</v>
      </c>
      <c r="F30" s="21">
        <f>(2290335)/1000*$F$5</f>
        <v>2290.335</v>
      </c>
      <c r="G30" s="21">
        <f t="shared" si="0"/>
        <v>2290.335</v>
      </c>
      <c r="H30" s="142" t="s">
        <v>105</v>
      </c>
      <c r="I30" s="15"/>
    </row>
    <row r="31" spans="1:9" ht="84" x14ac:dyDescent="0.2">
      <c r="A31" s="16" t="s">
        <v>99</v>
      </c>
      <c r="B31" s="92" t="s">
        <v>247</v>
      </c>
      <c r="C31" s="255"/>
      <c r="D31" s="19" t="s">
        <v>104</v>
      </c>
      <c r="E31" s="24" t="s">
        <v>106</v>
      </c>
      <c r="F31" s="21">
        <f>(7629477)/1000*$F$5</f>
        <v>7629.4769999999999</v>
      </c>
      <c r="G31" s="21">
        <f t="shared" si="0"/>
        <v>7629.4769999999999</v>
      </c>
      <c r="H31" s="142" t="s">
        <v>114</v>
      </c>
      <c r="I31" s="15"/>
    </row>
    <row r="32" spans="1:9" ht="48" x14ac:dyDescent="0.2">
      <c r="A32" s="16" t="s">
        <v>100</v>
      </c>
      <c r="B32" s="92" t="s">
        <v>247</v>
      </c>
      <c r="C32" s="255"/>
      <c r="D32" s="19" t="s">
        <v>16</v>
      </c>
      <c r="E32" s="19" t="s">
        <v>107</v>
      </c>
      <c r="F32" s="21">
        <f>(1831211)/1000*$F$5</f>
        <v>1831.211</v>
      </c>
      <c r="G32" s="21">
        <f t="shared" si="0"/>
        <v>1831.211</v>
      </c>
      <c r="H32" s="142" t="s">
        <v>115</v>
      </c>
      <c r="I32" s="15"/>
    </row>
    <row r="33" spans="1:9" ht="156" x14ac:dyDescent="0.2">
      <c r="A33" s="17" t="s">
        <v>149</v>
      </c>
      <c r="B33" s="33" t="s">
        <v>146</v>
      </c>
      <c r="C33" s="138" t="s">
        <v>843</v>
      </c>
      <c r="D33" s="12" t="s">
        <v>124</v>
      </c>
      <c r="E33" s="12" t="s">
        <v>56</v>
      </c>
      <c r="F33" s="147">
        <f>(407667.34/1.18)/1000*$F$5</f>
        <v>345.48079661016953</v>
      </c>
      <c r="G33" s="147">
        <f>F33</f>
        <v>345.48079661016953</v>
      </c>
      <c r="H33" s="148" t="s">
        <v>125</v>
      </c>
      <c r="I33" s="32"/>
    </row>
    <row r="34" spans="1:9" ht="50.25" customHeight="1" x14ac:dyDescent="0.2">
      <c r="A34" s="36" t="s">
        <v>148</v>
      </c>
      <c r="B34" s="94" t="s">
        <v>249</v>
      </c>
      <c r="C34" s="254" t="s">
        <v>147</v>
      </c>
      <c r="D34" s="18"/>
      <c r="E34" s="18"/>
      <c r="F34" s="146">
        <f t="shared" ref="F34" si="1">(0)/1000*$F$5</f>
        <v>0</v>
      </c>
      <c r="G34" s="146">
        <f t="shared" si="0"/>
        <v>0</v>
      </c>
      <c r="H34" s="141"/>
      <c r="I34" s="35"/>
    </row>
    <row r="35" spans="1:9" ht="64.5" customHeight="1" x14ac:dyDescent="0.2">
      <c r="A35" s="16" t="s">
        <v>122</v>
      </c>
      <c r="B35" s="92" t="s">
        <v>248</v>
      </c>
      <c r="C35" s="255"/>
      <c r="D35" s="19" t="s">
        <v>119</v>
      </c>
      <c r="E35" s="19" t="s">
        <v>119</v>
      </c>
      <c r="F35" s="21">
        <f>(448400/1.18)/1000*$F$5</f>
        <v>380</v>
      </c>
      <c r="G35" s="21">
        <f t="shared" si="0"/>
        <v>380</v>
      </c>
      <c r="H35" s="142" t="s">
        <v>120</v>
      </c>
      <c r="I35" s="34"/>
    </row>
    <row r="36" spans="1:9" ht="48" x14ac:dyDescent="0.2">
      <c r="A36" s="16" t="s">
        <v>123</v>
      </c>
      <c r="B36" s="92" t="s">
        <v>250</v>
      </c>
      <c r="C36" s="255"/>
      <c r="D36" s="19" t="s">
        <v>13</v>
      </c>
      <c r="E36" s="19" t="s">
        <v>8</v>
      </c>
      <c r="F36" s="21">
        <f>(2300000)/1000*$F$5</f>
        <v>2300</v>
      </c>
      <c r="G36" s="21">
        <f t="shared" si="0"/>
        <v>2300</v>
      </c>
      <c r="H36" s="142" t="s">
        <v>171</v>
      </c>
      <c r="I36" s="34"/>
    </row>
    <row r="37" spans="1:9" ht="66.75" customHeight="1" x14ac:dyDescent="0.2">
      <c r="A37" s="16" t="s">
        <v>150</v>
      </c>
      <c r="B37" s="92" t="s">
        <v>251</v>
      </c>
      <c r="C37" s="255"/>
      <c r="D37" s="19" t="s">
        <v>126</v>
      </c>
      <c r="E37" s="19" t="s">
        <v>127</v>
      </c>
      <c r="F37" s="21">
        <f>(650000)/1000*$F$5</f>
        <v>650</v>
      </c>
      <c r="G37" s="21">
        <f t="shared" si="0"/>
        <v>650</v>
      </c>
      <c r="H37" s="142" t="s">
        <v>121</v>
      </c>
      <c r="I37" s="34"/>
    </row>
    <row r="38" spans="1:9" ht="69" customHeight="1" x14ac:dyDescent="0.2">
      <c r="A38" s="16" t="s">
        <v>151</v>
      </c>
      <c r="B38" s="92" t="s">
        <v>252</v>
      </c>
      <c r="C38" s="255"/>
      <c r="D38" s="19" t="s">
        <v>51</v>
      </c>
      <c r="E38" s="19" t="s">
        <v>56</v>
      </c>
      <c r="F38" s="21">
        <f>(2300000)/1000*$F$5</f>
        <v>2300</v>
      </c>
      <c r="G38" s="21">
        <f>F38-(61506)/1000*$F$5</f>
        <v>2238.4940000000001</v>
      </c>
      <c r="H38" s="142" t="s">
        <v>121</v>
      </c>
      <c r="I38" s="34"/>
    </row>
    <row r="39" spans="1:9" ht="60" x14ac:dyDescent="0.2">
      <c r="A39" s="16" t="s">
        <v>152</v>
      </c>
      <c r="B39" s="92" t="s">
        <v>253</v>
      </c>
      <c r="C39" s="255"/>
      <c r="D39" s="19" t="s">
        <v>51</v>
      </c>
      <c r="E39" s="19" t="s">
        <v>124</v>
      </c>
      <c r="F39" s="21">
        <f>(2300000)/1000*$F$5</f>
        <v>2300</v>
      </c>
      <c r="G39" s="21">
        <f t="shared" ref="G39" si="2">F39-(0)/1000*$F$5</f>
        <v>2300</v>
      </c>
      <c r="H39" s="142" t="s">
        <v>172</v>
      </c>
      <c r="I39" s="34"/>
    </row>
    <row r="40" spans="1:9" ht="60" x14ac:dyDescent="0.2">
      <c r="A40" s="16" t="s">
        <v>153</v>
      </c>
      <c r="B40" s="92" t="s">
        <v>891</v>
      </c>
      <c r="C40" s="255"/>
      <c r="D40" s="19" t="s">
        <v>124</v>
      </c>
      <c r="E40" s="19" t="s">
        <v>129</v>
      </c>
      <c r="F40" s="21">
        <f>(1416000/1.18)/1000*$F$5</f>
        <v>1200</v>
      </c>
      <c r="G40" s="21">
        <f>F40-(0)/1000*$F$5</f>
        <v>1200</v>
      </c>
      <c r="H40" s="142" t="s">
        <v>128</v>
      </c>
      <c r="I40" s="34"/>
    </row>
    <row r="41" spans="1:9" ht="54.75" customHeight="1" x14ac:dyDescent="0.2">
      <c r="A41" s="16" t="s">
        <v>154</v>
      </c>
      <c r="B41" s="92" t="s">
        <v>254</v>
      </c>
      <c r="C41" s="255"/>
      <c r="D41" s="19" t="s">
        <v>49</v>
      </c>
      <c r="E41" s="19" t="s">
        <v>25</v>
      </c>
      <c r="F41" s="21">
        <f>(4600000)/1000*$F$5</f>
        <v>4600</v>
      </c>
      <c r="G41" s="21">
        <f>F41-(32790)/1000*$F$5</f>
        <v>4567.21</v>
      </c>
      <c r="H41" s="142" t="s">
        <v>130</v>
      </c>
      <c r="I41" s="34"/>
    </row>
    <row r="42" spans="1:9" ht="40.5" customHeight="1" x14ac:dyDescent="0.2">
      <c r="A42" s="16" t="s">
        <v>155</v>
      </c>
      <c r="B42" s="92" t="s">
        <v>255</v>
      </c>
      <c r="C42" s="255"/>
      <c r="D42" s="19" t="s">
        <v>56</v>
      </c>
      <c r="E42" s="19" t="s">
        <v>7</v>
      </c>
      <c r="F42" s="21">
        <f>(1896068)/1000*$F$5</f>
        <v>1896.068</v>
      </c>
      <c r="G42" s="21">
        <f>F42-(510000)/1000*$F$5</f>
        <v>1386.068</v>
      </c>
      <c r="H42" s="142" t="s">
        <v>131</v>
      </c>
      <c r="I42" s="34"/>
    </row>
    <row r="43" spans="1:9" ht="66" customHeight="1" x14ac:dyDescent="0.2">
      <c r="A43" s="16" t="s">
        <v>156</v>
      </c>
      <c r="B43" s="92" t="s">
        <v>893</v>
      </c>
      <c r="C43" s="255"/>
      <c r="D43" s="19" t="s">
        <v>132</v>
      </c>
      <c r="E43" s="19" t="s">
        <v>14</v>
      </c>
      <c r="F43" s="21">
        <f>(1420000)/1000*$F$5</f>
        <v>1420</v>
      </c>
      <c r="G43" s="21">
        <f t="shared" ref="G43:G106" si="3">F43-(0)/1000*$F$5</f>
        <v>1420</v>
      </c>
      <c r="H43" s="142" t="s">
        <v>128</v>
      </c>
      <c r="I43" s="34"/>
    </row>
    <row r="44" spans="1:9" ht="48" x14ac:dyDescent="0.2">
      <c r="A44" s="16" t="s">
        <v>157</v>
      </c>
      <c r="B44" s="92" t="s">
        <v>895</v>
      </c>
      <c r="C44" s="255"/>
      <c r="D44" s="19" t="s">
        <v>4</v>
      </c>
      <c r="E44" s="24" t="s">
        <v>649</v>
      </c>
      <c r="F44" s="21">
        <f>(42143938)/1000*$F$5</f>
        <v>42143.938000000002</v>
      </c>
      <c r="G44" s="21">
        <f>F44-(27790161.6)/1000*$F$5</f>
        <v>14353.776399999999</v>
      </c>
      <c r="H44" s="142" t="s">
        <v>133</v>
      </c>
      <c r="I44" s="34"/>
    </row>
    <row r="45" spans="1:9" ht="48" x14ac:dyDescent="0.2">
      <c r="A45" s="16" t="s">
        <v>158</v>
      </c>
      <c r="B45" s="92" t="s">
        <v>844</v>
      </c>
      <c r="C45" s="255"/>
      <c r="D45" s="19" t="s">
        <v>4</v>
      </c>
      <c r="E45" s="19" t="s">
        <v>86</v>
      </c>
      <c r="F45" s="21">
        <f>(5583000)/1000*$F$5</f>
        <v>5583</v>
      </c>
      <c r="G45" s="21">
        <f>F45-(901966)/1000*$F$5</f>
        <v>4681.0339999999997</v>
      </c>
      <c r="H45" s="142" t="s">
        <v>134</v>
      </c>
      <c r="I45" s="34"/>
    </row>
    <row r="46" spans="1:9" ht="36" x14ac:dyDescent="0.2">
      <c r="A46" s="16" t="s">
        <v>159</v>
      </c>
      <c r="B46" s="92" t="s">
        <v>257</v>
      </c>
      <c r="C46" s="255"/>
      <c r="D46" s="19" t="s">
        <v>14</v>
      </c>
      <c r="E46" s="19" t="s">
        <v>7</v>
      </c>
      <c r="F46" s="21">
        <f>(7800000)/1000*$F$5</f>
        <v>7800</v>
      </c>
      <c r="G46" s="21">
        <f>F46-(886884)/1000*$F$5</f>
        <v>6913.116</v>
      </c>
      <c r="H46" s="142" t="s">
        <v>135</v>
      </c>
      <c r="I46" s="34"/>
    </row>
    <row r="47" spans="1:9" ht="36" x14ac:dyDescent="0.2">
      <c r="A47" s="16" t="s">
        <v>160</v>
      </c>
      <c r="B47" s="92" t="s">
        <v>258</v>
      </c>
      <c r="C47" s="255"/>
      <c r="D47" s="19" t="s">
        <v>58</v>
      </c>
      <c r="E47" s="19" t="s">
        <v>9</v>
      </c>
      <c r="F47" s="21">
        <f>(5200000)/1000*$F$5</f>
        <v>5200</v>
      </c>
      <c r="G47" s="21">
        <f t="shared" si="3"/>
        <v>5200</v>
      </c>
      <c r="H47" s="142" t="s">
        <v>136</v>
      </c>
      <c r="I47" s="34"/>
    </row>
    <row r="48" spans="1:9" ht="36" x14ac:dyDescent="0.2">
      <c r="A48" s="16" t="s">
        <v>161</v>
      </c>
      <c r="B48" s="92" t="s">
        <v>259</v>
      </c>
      <c r="C48" s="255"/>
      <c r="D48" s="19" t="s">
        <v>93</v>
      </c>
      <c r="E48" s="19" t="s">
        <v>137</v>
      </c>
      <c r="F48" s="21">
        <f>(700000)/1000*$F$5</f>
        <v>700</v>
      </c>
      <c r="G48" s="21">
        <f>F48-(370000)/1000*$F$5</f>
        <v>330</v>
      </c>
      <c r="H48" s="142" t="s">
        <v>128</v>
      </c>
      <c r="I48" s="34"/>
    </row>
    <row r="49" spans="1:10" ht="60" x14ac:dyDescent="0.2">
      <c r="A49" s="16" t="s">
        <v>162</v>
      </c>
      <c r="B49" s="92" t="s">
        <v>260</v>
      </c>
      <c r="C49" s="255"/>
      <c r="D49" s="19" t="s">
        <v>137</v>
      </c>
      <c r="E49" s="19" t="s">
        <v>95</v>
      </c>
      <c r="F49" s="21">
        <f>(1050000)/1000*$F$5</f>
        <v>1050</v>
      </c>
      <c r="G49" s="21">
        <f t="shared" si="3"/>
        <v>1050</v>
      </c>
      <c r="H49" s="142" t="s">
        <v>128</v>
      </c>
      <c r="I49" s="34"/>
    </row>
    <row r="50" spans="1:10" ht="36" x14ac:dyDescent="0.2">
      <c r="A50" s="16" t="s">
        <v>163</v>
      </c>
      <c r="B50" s="92" t="s">
        <v>902</v>
      </c>
      <c r="C50" s="255"/>
      <c r="D50" s="19" t="s">
        <v>91</v>
      </c>
      <c r="E50" s="19" t="s">
        <v>95</v>
      </c>
      <c r="F50" s="21">
        <f>(3066113)/1000*$F$5</f>
        <v>3066.1129999999998</v>
      </c>
      <c r="G50" s="21">
        <f t="shared" si="3"/>
        <v>3066.1129999999998</v>
      </c>
      <c r="H50" s="142" t="s">
        <v>138</v>
      </c>
      <c r="I50" s="34"/>
    </row>
    <row r="51" spans="1:10" ht="36" x14ac:dyDescent="0.2">
      <c r="A51" s="16" t="s">
        <v>164</v>
      </c>
      <c r="B51" s="92" t="s">
        <v>261</v>
      </c>
      <c r="C51" s="255"/>
      <c r="D51" s="19" t="s">
        <v>60</v>
      </c>
      <c r="E51" s="19" t="s">
        <v>139</v>
      </c>
      <c r="F51" s="21">
        <f>(5238644)/1000*$F$5</f>
        <v>5238.6440000000002</v>
      </c>
      <c r="G51" s="21">
        <f t="shared" si="3"/>
        <v>5238.6440000000002</v>
      </c>
      <c r="H51" s="142" t="s">
        <v>140</v>
      </c>
      <c r="I51" s="34"/>
    </row>
    <row r="52" spans="1:10" ht="42.75" customHeight="1" x14ac:dyDescent="0.2">
      <c r="A52" s="16" t="s">
        <v>165</v>
      </c>
      <c r="B52" s="92" t="s">
        <v>262</v>
      </c>
      <c r="C52" s="255"/>
      <c r="D52" s="19" t="s">
        <v>95</v>
      </c>
      <c r="E52" s="19" t="s">
        <v>9</v>
      </c>
      <c r="F52" s="21">
        <f>(2995000)/1000*$F$5</f>
        <v>2995</v>
      </c>
      <c r="G52" s="21">
        <f t="shared" si="3"/>
        <v>2995</v>
      </c>
      <c r="H52" s="142" t="s">
        <v>140</v>
      </c>
      <c r="I52" s="34"/>
    </row>
    <row r="53" spans="1:10" ht="40.5" customHeight="1" x14ac:dyDescent="0.2">
      <c r="A53" s="16" t="s">
        <v>166</v>
      </c>
      <c r="B53" s="92" t="s">
        <v>263</v>
      </c>
      <c r="C53" s="255"/>
      <c r="D53" s="19" t="s">
        <v>141</v>
      </c>
      <c r="E53" s="24" t="s">
        <v>142</v>
      </c>
      <c r="F53" s="21">
        <f>(4930000)/1000*$F$5</f>
        <v>4930</v>
      </c>
      <c r="G53" s="21">
        <f t="shared" si="3"/>
        <v>4930</v>
      </c>
      <c r="H53" s="142" t="s">
        <v>143</v>
      </c>
      <c r="I53" s="34"/>
    </row>
    <row r="54" spans="1:10" ht="66" customHeight="1" x14ac:dyDescent="0.2">
      <c r="A54" s="16" t="s">
        <v>167</v>
      </c>
      <c r="B54" s="92" t="s">
        <v>264</v>
      </c>
      <c r="C54" s="255" t="s">
        <v>763</v>
      </c>
      <c r="D54" s="19" t="s">
        <v>86</v>
      </c>
      <c r="E54" s="19" t="s">
        <v>95</v>
      </c>
      <c r="F54" s="21">
        <f>(3048480)/1000*$F$5</f>
        <v>3048.48</v>
      </c>
      <c r="G54" s="21">
        <f t="shared" si="3"/>
        <v>3048.48</v>
      </c>
      <c r="H54" s="142" t="s">
        <v>144</v>
      </c>
      <c r="I54" s="34"/>
    </row>
    <row r="55" spans="1:10" ht="101.25" customHeight="1" x14ac:dyDescent="0.2">
      <c r="A55" s="16" t="s">
        <v>168</v>
      </c>
      <c r="B55" s="92" t="s">
        <v>265</v>
      </c>
      <c r="C55" s="255"/>
      <c r="D55" s="19" t="s">
        <v>103</v>
      </c>
      <c r="E55" s="24" t="s">
        <v>145</v>
      </c>
      <c r="F55" s="21">
        <f>(3942141)/1000*$F$5</f>
        <v>3942.1410000000001</v>
      </c>
      <c r="G55" s="21">
        <f t="shared" si="3"/>
        <v>3942.1410000000001</v>
      </c>
      <c r="H55" s="142" t="s">
        <v>143</v>
      </c>
      <c r="I55" s="34"/>
    </row>
    <row r="56" spans="1:10" ht="77.25" customHeight="1" x14ac:dyDescent="0.2">
      <c r="A56" s="16" t="s">
        <v>297</v>
      </c>
      <c r="B56" s="92" t="s">
        <v>296</v>
      </c>
      <c r="C56" s="255" t="s">
        <v>650</v>
      </c>
      <c r="D56" s="19" t="s">
        <v>13</v>
      </c>
      <c r="E56" s="24" t="s">
        <v>48</v>
      </c>
      <c r="F56" s="21">
        <f>(1397275.21)/1000*$F$5</f>
        <v>1397.27521</v>
      </c>
      <c r="G56" s="21">
        <f t="shared" si="3"/>
        <v>1397.27521</v>
      </c>
      <c r="H56" s="142" t="s">
        <v>144</v>
      </c>
      <c r="I56" s="34"/>
    </row>
    <row r="57" spans="1:10" ht="90" customHeight="1" x14ac:dyDescent="0.2">
      <c r="A57" s="16" t="s">
        <v>306</v>
      </c>
      <c r="B57" s="92" t="s">
        <v>298</v>
      </c>
      <c r="C57" s="256"/>
      <c r="D57" s="19" t="s">
        <v>78</v>
      </c>
      <c r="E57" s="24" t="s">
        <v>52</v>
      </c>
      <c r="F57" s="21">
        <f>(1460000)/1000*$F$5</f>
        <v>1460</v>
      </c>
      <c r="G57" s="21">
        <f t="shared" si="3"/>
        <v>1460</v>
      </c>
      <c r="H57" s="142" t="s">
        <v>144</v>
      </c>
      <c r="I57" s="34"/>
    </row>
    <row r="58" spans="1:10" ht="48.75" customHeight="1" x14ac:dyDescent="0.2">
      <c r="A58" s="52" t="s">
        <v>186</v>
      </c>
      <c r="B58" s="94" t="s">
        <v>799</v>
      </c>
      <c r="C58" s="254" t="s">
        <v>333</v>
      </c>
      <c r="D58" s="18"/>
      <c r="E58" s="46"/>
      <c r="F58" s="146"/>
      <c r="G58" s="146"/>
      <c r="H58" s="141"/>
      <c r="I58" s="35"/>
    </row>
    <row r="59" spans="1:10" ht="58.5" customHeight="1" x14ac:dyDescent="0.2">
      <c r="A59" s="16" t="s">
        <v>173</v>
      </c>
      <c r="B59" s="92" t="s">
        <v>220</v>
      </c>
      <c r="C59" s="255"/>
      <c r="D59" s="19" t="s">
        <v>25</v>
      </c>
      <c r="E59" s="24" t="s">
        <v>86</v>
      </c>
      <c r="F59" s="21">
        <f>(5990000)/1000*$F$5</f>
        <v>5990</v>
      </c>
      <c r="G59" s="21">
        <f>F59-(2790000)/1000*$F$5</f>
        <v>3200</v>
      </c>
      <c r="H59" s="142" t="s">
        <v>184</v>
      </c>
      <c r="I59" s="34"/>
    </row>
    <row r="60" spans="1:10" ht="64.5" customHeight="1" x14ac:dyDescent="0.2">
      <c r="A60" s="16" t="s">
        <v>187</v>
      </c>
      <c r="B60" s="92" t="s">
        <v>221</v>
      </c>
      <c r="C60" s="255"/>
      <c r="D60" s="24" t="s">
        <v>86</v>
      </c>
      <c r="E60" s="24" t="s">
        <v>139</v>
      </c>
      <c r="F60" s="21">
        <f>(6100000)/1000*$F$5</f>
        <v>6100</v>
      </c>
      <c r="G60" s="21">
        <f>F60-(2790)/1000*$F$5</f>
        <v>6097.21</v>
      </c>
      <c r="H60" s="142" t="s">
        <v>185</v>
      </c>
      <c r="I60" s="34"/>
    </row>
    <row r="61" spans="1:10" ht="165.75" customHeight="1" x14ac:dyDescent="0.2">
      <c r="A61" s="17" t="s">
        <v>188</v>
      </c>
      <c r="B61" s="93" t="s">
        <v>222</v>
      </c>
      <c r="C61" s="138" t="s">
        <v>651</v>
      </c>
      <c r="D61" s="12" t="s">
        <v>46</v>
      </c>
      <c r="E61" s="55" t="s">
        <v>48</v>
      </c>
      <c r="F61" s="147">
        <f>(22567584.09)/1000*$F$5</f>
        <v>22567.58409</v>
      </c>
      <c r="G61" s="147">
        <f>F61-(1513641+2800000+165000)/1000*$F$5</f>
        <v>18088.943090000001</v>
      </c>
      <c r="H61" s="148" t="s">
        <v>189</v>
      </c>
      <c r="I61" s="32"/>
    </row>
    <row r="62" spans="1:10" ht="52.5" customHeight="1" x14ac:dyDescent="0.2">
      <c r="A62" s="52" t="s">
        <v>190</v>
      </c>
      <c r="B62" s="94" t="s">
        <v>307</v>
      </c>
      <c r="C62" s="254" t="s">
        <v>656</v>
      </c>
      <c r="D62" s="19"/>
      <c r="E62" s="24"/>
      <c r="F62" s="21"/>
      <c r="G62" s="21"/>
      <c r="H62" s="142"/>
      <c r="I62" s="34"/>
    </row>
    <row r="63" spans="1:10" ht="81" customHeight="1" x14ac:dyDescent="0.2">
      <c r="A63" s="16" t="s">
        <v>191</v>
      </c>
      <c r="B63" s="92" t="s">
        <v>925</v>
      </c>
      <c r="C63" s="255"/>
      <c r="D63" s="19" t="s">
        <v>223</v>
      </c>
      <c r="E63" s="24" t="s">
        <v>658</v>
      </c>
      <c r="F63" s="21">
        <f>(755098153.19/1.18)/1000*$F$5</f>
        <v>639913.68914406793</v>
      </c>
      <c r="G63" s="21">
        <f>F63-(3069504.4)/1000*$F$5</f>
        <v>636844.18474406796</v>
      </c>
      <c r="H63" s="142" t="s">
        <v>224</v>
      </c>
      <c r="I63" s="34"/>
      <c r="J63" s="1" t="s">
        <v>657</v>
      </c>
    </row>
    <row r="64" spans="1:10" ht="81.75" customHeight="1" x14ac:dyDescent="0.2">
      <c r="A64" s="16" t="s">
        <v>192</v>
      </c>
      <c r="B64" s="92" t="s">
        <v>926</v>
      </c>
      <c r="C64" s="255"/>
      <c r="D64" s="19" t="s">
        <v>31</v>
      </c>
      <c r="E64" s="19" t="s">
        <v>11</v>
      </c>
      <c r="F64" s="21">
        <f>(263049495)/1000*$F$5</f>
        <v>263049.495</v>
      </c>
      <c r="G64" s="21">
        <f>F64-(3429672+4392871+1527542)/1000*$F$5</f>
        <v>253699.41</v>
      </c>
      <c r="H64" s="142" t="s">
        <v>225</v>
      </c>
      <c r="I64" s="34"/>
    </row>
    <row r="65" spans="1:10" ht="60" x14ac:dyDescent="0.2">
      <c r="A65" s="16" t="s">
        <v>193</v>
      </c>
      <c r="B65" s="92" t="s">
        <v>226</v>
      </c>
      <c r="C65" s="255"/>
      <c r="D65" s="19" t="s">
        <v>227</v>
      </c>
      <c r="E65" s="24" t="s">
        <v>660</v>
      </c>
      <c r="F65" s="21">
        <f>(1073038839.44)/1000*$F$5</f>
        <v>1073038.83944</v>
      </c>
      <c r="G65" s="21">
        <f>F65-(213273640+1475718+31875722+14558003+15523386+31999188+33739055+9912986+24735430)/1000*$F$5</f>
        <v>695945.71143999998</v>
      </c>
      <c r="H65" s="142" t="s">
        <v>185</v>
      </c>
      <c r="I65" s="34"/>
      <c r="J65" s="1" t="s">
        <v>659</v>
      </c>
    </row>
    <row r="66" spans="1:10" ht="48" x14ac:dyDescent="0.2">
      <c r="A66" s="16" t="s">
        <v>194</v>
      </c>
      <c r="B66" s="92" t="s">
        <v>228</v>
      </c>
      <c r="C66" s="255"/>
      <c r="D66" s="19" t="s">
        <v>13</v>
      </c>
      <c r="E66" s="24" t="s">
        <v>661</v>
      </c>
      <c r="F66" s="21">
        <f>(580672306.54)/1000*$F$5</f>
        <v>580672.30654000002</v>
      </c>
      <c r="G66" s="21">
        <f>F66-(131445396+7611196+8912693+1312680)/1000*$F$5</f>
        <v>431390.34154000005</v>
      </c>
      <c r="H66" s="142" t="s">
        <v>229</v>
      </c>
      <c r="I66" s="34"/>
      <c r="J66" s="1" t="s">
        <v>662</v>
      </c>
    </row>
    <row r="67" spans="1:10" ht="60" x14ac:dyDescent="0.2">
      <c r="A67" s="16" t="s">
        <v>195</v>
      </c>
      <c r="B67" s="92" t="s">
        <v>236</v>
      </c>
      <c r="C67" s="255"/>
      <c r="D67" s="19" t="s">
        <v>61</v>
      </c>
      <c r="E67" s="24" t="s">
        <v>664</v>
      </c>
      <c r="F67" s="21">
        <f>(80521374.83)/1000*$F$5</f>
        <v>80521.374830000001</v>
      </c>
      <c r="G67" s="21">
        <f t="shared" ref="G67:G82" si="4">F67-(0)/1000*$F$5</f>
        <v>80521.374830000001</v>
      </c>
      <c r="H67" s="142" t="s">
        <v>237</v>
      </c>
      <c r="I67" s="34"/>
      <c r="J67" s="1" t="s">
        <v>663</v>
      </c>
    </row>
    <row r="68" spans="1:10" ht="48" x14ac:dyDescent="0.2">
      <c r="A68" s="16" t="s">
        <v>196</v>
      </c>
      <c r="B68" s="92" t="s">
        <v>238</v>
      </c>
      <c r="C68" s="255"/>
      <c r="D68" s="19" t="s">
        <v>103</v>
      </c>
      <c r="E68" s="24" t="s">
        <v>666</v>
      </c>
      <c r="F68" s="21">
        <f>(36517483.6/1.18)/1000*$F$5</f>
        <v>30947.020000000004</v>
      </c>
      <c r="G68" s="21">
        <f t="shared" si="4"/>
        <v>30947.020000000004</v>
      </c>
      <c r="H68" s="142" t="s">
        <v>239</v>
      </c>
      <c r="I68" s="34"/>
      <c r="J68" s="1" t="s">
        <v>665</v>
      </c>
    </row>
    <row r="69" spans="1:10" ht="68.25" customHeight="1" x14ac:dyDescent="0.2">
      <c r="A69" s="16" t="s">
        <v>197</v>
      </c>
      <c r="B69" s="92" t="s">
        <v>334</v>
      </c>
      <c r="C69" s="137" t="s">
        <v>234</v>
      </c>
      <c r="D69" s="19" t="s">
        <v>35</v>
      </c>
      <c r="E69" s="19" t="s">
        <v>230</v>
      </c>
      <c r="F69" s="21">
        <f>(11102044)/1000*$F$5</f>
        <v>11102.044</v>
      </c>
      <c r="G69" s="21">
        <f t="shared" si="4"/>
        <v>11102.044</v>
      </c>
      <c r="H69" s="142" t="s">
        <v>335</v>
      </c>
      <c r="I69" s="34"/>
    </row>
    <row r="70" spans="1:10" ht="52.5" customHeight="1" x14ac:dyDescent="0.2">
      <c r="A70" s="16" t="s">
        <v>198</v>
      </c>
      <c r="B70" s="92" t="s">
        <v>232</v>
      </c>
      <c r="C70" s="137"/>
      <c r="D70" s="19" t="s">
        <v>61</v>
      </c>
      <c r="E70" s="19" t="s">
        <v>61</v>
      </c>
      <c r="F70" s="21">
        <f>(1441492)/1000*$F$5</f>
        <v>1441.492</v>
      </c>
      <c r="G70" s="21">
        <f t="shared" si="4"/>
        <v>1441.492</v>
      </c>
      <c r="H70" s="142" t="s">
        <v>235</v>
      </c>
      <c r="I70" s="34"/>
    </row>
    <row r="71" spans="1:10" ht="36" x14ac:dyDescent="0.2">
      <c r="A71" s="16" t="s">
        <v>199</v>
      </c>
      <c r="B71" s="92" t="s">
        <v>240</v>
      </c>
      <c r="C71" s="137"/>
      <c r="D71" s="19" t="s">
        <v>62</v>
      </c>
      <c r="E71" s="19" t="s">
        <v>16</v>
      </c>
      <c r="F71" s="21">
        <f>(2545771)/1000*$F$5</f>
        <v>2545.7710000000002</v>
      </c>
      <c r="G71" s="21">
        <f t="shared" si="4"/>
        <v>2545.7710000000002</v>
      </c>
      <c r="H71" s="142" t="s">
        <v>241</v>
      </c>
      <c r="I71" s="34"/>
    </row>
    <row r="72" spans="1:10" s="60" customFormat="1" ht="60" x14ac:dyDescent="0.2">
      <c r="A72" s="56" t="s">
        <v>200</v>
      </c>
      <c r="B72" s="57" t="s">
        <v>233</v>
      </c>
      <c r="C72" s="139"/>
      <c r="D72" s="19" t="s">
        <v>101</v>
      </c>
      <c r="E72" s="19" t="s">
        <v>101</v>
      </c>
      <c r="F72" s="21">
        <f>(623681)/1000*$F$5</f>
        <v>623.68100000000004</v>
      </c>
      <c r="G72" s="21">
        <f t="shared" si="4"/>
        <v>623.68100000000004</v>
      </c>
      <c r="H72" s="58" t="s">
        <v>231</v>
      </c>
      <c r="I72" s="59"/>
    </row>
    <row r="73" spans="1:10" ht="144" x14ac:dyDescent="0.2">
      <c r="A73" s="16" t="s">
        <v>201</v>
      </c>
      <c r="B73" s="5" t="s">
        <v>29</v>
      </c>
      <c r="C73" s="142" t="s">
        <v>667</v>
      </c>
      <c r="D73" s="19" t="s">
        <v>8</v>
      </c>
      <c r="E73" s="19" t="s">
        <v>9</v>
      </c>
      <c r="F73" s="21">
        <f>(33456472)/1000*$F$5</f>
        <v>33456.472000000002</v>
      </c>
      <c r="G73" s="21">
        <f t="shared" si="4"/>
        <v>33456.472000000002</v>
      </c>
      <c r="H73" s="142" t="s">
        <v>32</v>
      </c>
      <c r="I73" s="34"/>
    </row>
    <row r="74" spans="1:10" ht="132" x14ac:dyDescent="0.2">
      <c r="A74" s="16" t="s">
        <v>202</v>
      </c>
      <c r="B74" s="5" t="s">
        <v>544</v>
      </c>
      <c r="C74" s="142" t="s">
        <v>764</v>
      </c>
      <c r="D74" s="19" t="s">
        <v>48</v>
      </c>
      <c r="E74" s="19" t="s">
        <v>9</v>
      </c>
      <c r="F74" s="21">
        <f>(96537111)/1000*$F$5</f>
        <v>96537.111000000004</v>
      </c>
      <c r="G74" s="21">
        <f>F74-(0)/1000*$F$5</f>
        <v>96537.111000000004</v>
      </c>
      <c r="H74" s="142" t="s">
        <v>545</v>
      </c>
      <c r="I74" s="34"/>
      <c r="J74" s="1" t="s">
        <v>546</v>
      </c>
    </row>
    <row r="75" spans="1:10" ht="96" x14ac:dyDescent="0.2">
      <c r="A75" s="16" t="s">
        <v>203</v>
      </c>
      <c r="B75" s="5" t="s">
        <v>30</v>
      </c>
      <c r="C75" s="142" t="s">
        <v>336</v>
      </c>
      <c r="D75" s="19" t="s">
        <v>13</v>
      </c>
      <c r="E75" s="19" t="s">
        <v>181</v>
      </c>
      <c r="F75" s="21">
        <f>(28683341.69)/1000*$F$5</f>
        <v>28683.341690000001</v>
      </c>
      <c r="G75" s="21">
        <f>F75-(5640762+8136815)/1000*$F$5</f>
        <v>14905.764690000002</v>
      </c>
      <c r="H75" s="142" t="s">
        <v>34</v>
      </c>
      <c r="I75" s="34"/>
    </row>
    <row r="76" spans="1:10" ht="48" x14ac:dyDescent="0.2">
      <c r="A76" s="16" t="s">
        <v>204</v>
      </c>
      <c r="B76" s="5" t="s">
        <v>30</v>
      </c>
      <c r="C76" s="137" t="s">
        <v>337</v>
      </c>
      <c r="D76" s="19" t="s">
        <v>8</v>
      </c>
      <c r="E76" s="19" t="s">
        <v>295</v>
      </c>
      <c r="F76" s="21">
        <f>(2645492)/1000*$F$5</f>
        <v>2645.4920000000002</v>
      </c>
      <c r="G76" s="21">
        <f t="shared" si="4"/>
        <v>2645.4920000000002</v>
      </c>
      <c r="H76" s="142" t="s">
        <v>294</v>
      </c>
      <c r="I76" s="34"/>
    </row>
    <row r="77" spans="1:10" ht="80.25" customHeight="1" x14ac:dyDescent="0.2">
      <c r="A77" s="16" t="s">
        <v>205</v>
      </c>
      <c r="B77" s="5" t="s">
        <v>299</v>
      </c>
      <c r="C77" s="137" t="s">
        <v>699</v>
      </c>
      <c r="D77" s="19" t="s">
        <v>36</v>
      </c>
      <c r="E77" s="19" t="s">
        <v>37</v>
      </c>
      <c r="F77" s="21">
        <v>8400</v>
      </c>
      <c r="G77" s="21">
        <v>8400</v>
      </c>
      <c r="H77" s="142" t="s">
        <v>38</v>
      </c>
      <c r="I77" s="34"/>
    </row>
    <row r="78" spans="1:10" ht="112.5" customHeight="1" x14ac:dyDescent="0.2">
      <c r="A78" s="16" t="s">
        <v>206</v>
      </c>
      <c r="B78" s="92" t="s">
        <v>23</v>
      </c>
      <c r="C78" s="137" t="s">
        <v>10</v>
      </c>
      <c r="D78" s="19" t="s">
        <v>12</v>
      </c>
      <c r="E78" s="19" t="s">
        <v>25</v>
      </c>
      <c r="F78" s="21">
        <f>(6953730.8)/1000*$F$5</f>
        <v>6953.7307999999994</v>
      </c>
      <c r="G78" s="21">
        <f t="shared" ref="G78" si="5">F78-(0)/1000*$F$5</f>
        <v>6953.7307999999994</v>
      </c>
      <c r="H78" s="142" t="s">
        <v>27</v>
      </c>
      <c r="I78" s="34"/>
    </row>
    <row r="79" spans="1:10" ht="67.5" customHeight="1" x14ac:dyDescent="0.2">
      <c r="A79" s="16" t="s">
        <v>207</v>
      </c>
      <c r="B79" s="92" t="s">
        <v>300</v>
      </c>
      <c r="C79" s="137" t="s">
        <v>302</v>
      </c>
      <c r="D79" s="19" t="s">
        <v>5</v>
      </c>
      <c r="E79" s="19" t="s">
        <v>7</v>
      </c>
      <c r="F79" s="21">
        <f>(3599389.4/1.18)/1000*$F$5</f>
        <v>3050.33</v>
      </c>
      <c r="G79" s="21">
        <f t="shared" si="4"/>
        <v>3050.33</v>
      </c>
      <c r="H79" s="142" t="s">
        <v>301</v>
      </c>
      <c r="I79" s="34"/>
    </row>
    <row r="80" spans="1:10" ht="72" x14ac:dyDescent="0.2">
      <c r="A80" s="16" t="s">
        <v>668</v>
      </c>
      <c r="B80" s="92" t="s">
        <v>303</v>
      </c>
      <c r="C80" s="137" t="s">
        <v>305</v>
      </c>
      <c r="D80" s="19" t="s">
        <v>139</v>
      </c>
      <c r="E80" s="19" t="s">
        <v>211</v>
      </c>
      <c r="F80" s="21">
        <f>(5412330)/1000*$F$5</f>
        <v>5412.33</v>
      </c>
      <c r="G80" s="21">
        <f t="shared" si="4"/>
        <v>5412.33</v>
      </c>
      <c r="H80" s="142" t="s">
        <v>304</v>
      </c>
      <c r="I80" s="34"/>
      <c r="J80" s="1" t="s">
        <v>622</v>
      </c>
    </row>
    <row r="81" spans="1:9" hidden="1" x14ac:dyDescent="0.2">
      <c r="A81" s="16"/>
      <c r="B81" s="92"/>
      <c r="C81" s="137"/>
      <c r="D81" s="19"/>
      <c r="E81" s="24"/>
      <c r="F81" s="147">
        <f t="shared" ref="F81:F82" si="6">(0)/1000*$F$5</f>
        <v>0</v>
      </c>
      <c r="G81" s="147">
        <f t="shared" si="4"/>
        <v>0</v>
      </c>
      <c r="H81" s="142"/>
      <c r="I81" s="34"/>
    </row>
    <row r="82" spans="1:9" hidden="1" x14ac:dyDescent="0.2">
      <c r="A82" s="16"/>
      <c r="B82" s="92"/>
      <c r="C82" s="137"/>
      <c r="D82" s="19"/>
      <c r="E82" s="24"/>
      <c r="F82" s="147">
        <f t="shared" si="6"/>
        <v>0</v>
      </c>
      <c r="G82" s="147">
        <f t="shared" si="4"/>
        <v>0</v>
      </c>
      <c r="H82" s="142"/>
      <c r="I82" s="34"/>
    </row>
    <row r="83" spans="1:9" hidden="1" x14ac:dyDescent="0.2">
      <c r="A83" s="16"/>
      <c r="B83" s="92"/>
      <c r="C83" s="137"/>
      <c r="D83" s="19"/>
      <c r="E83" s="24"/>
      <c r="F83" s="21"/>
      <c r="G83" s="21"/>
      <c r="H83" s="142"/>
      <c r="I83" s="34"/>
    </row>
    <row r="84" spans="1:9" ht="48" x14ac:dyDescent="0.2">
      <c r="A84" s="47" t="s">
        <v>308</v>
      </c>
      <c r="B84" s="94" t="s">
        <v>338</v>
      </c>
      <c r="C84" s="254" t="s">
        <v>169</v>
      </c>
      <c r="D84" s="18"/>
      <c r="E84" s="18"/>
      <c r="F84" s="146">
        <f>(0)/1000*$F$5</f>
        <v>0</v>
      </c>
      <c r="G84" s="146">
        <f t="shared" si="3"/>
        <v>0</v>
      </c>
      <c r="H84" s="141"/>
      <c r="I84" s="35"/>
    </row>
    <row r="85" spans="1:9" ht="36" x14ac:dyDescent="0.2">
      <c r="A85" s="16" t="s">
        <v>213</v>
      </c>
      <c r="B85" s="92" t="s">
        <v>266</v>
      </c>
      <c r="C85" s="255"/>
      <c r="D85" s="19" t="s">
        <v>174</v>
      </c>
      <c r="E85" s="19" t="s">
        <v>8</v>
      </c>
      <c r="F85" s="21">
        <f>(1935198.82/1.18)/1000*$F$5</f>
        <v>1639.9990000000003</v>
      </c>
      <c r="G85" s="21">
        <f t="shared" si="3"/>
        <v>1639.9990000000003</v>
      </c>
      <c r="H85" s="142" t="s">
        <v>128</v>
      </c>
      <c r="I85" s="34"/>
    </row>
    <row r="86" spans="1:9" ht="36" x14ac:dyDescent="0.2">
      <c r="A86" s="16" t="s">
        <v>214</v>
      </c>
      <c r="B86" s="92" t="s">
        <v>267</v>
      </c>
      <c r="C86" s="255"/>
      <c r="D86" s="19" t="s">
        <v>46</v>
      </c>
      <c r="E86" s="19" t="s">
        <v>126</v>
      </c>
      <c r="F86" s="21">
        <f>(570000)/1000*$F$5</f>
        <v>570</v>
      </c>
      <c r="G86" s="21">
        <f t="shared" si="3"/>
        <v>570</v>
      </c>
      <c r="H86" s="142" t="s">
        <v>175</v>
      </c>
      <c r="I86" s="34"/>
    </row>
    <row r="87" spans="1:9" ht="36" x14ac:dyDescent="0.2">
      <c r="A87" s="16" t="s">
        <v>215</v>
      </c>
      <c r="B87" s="92" t="s">
        <v>268</v>
      </c>
      <c r="C87" s="255"/>
      <c r="D87" s="19" t="s">
        <v>176</v>
      </c>
      <c r="E87" s="19" t="s">
        <v>176</v>
      </c>
      <c r="F87" s="21">
        <f>(259600/1.18)/1000*$F$5</f>
        <v>220</v>
      </c>
      <c r="G87" s="21">
        <f t="shared" si="3"/>
        <v>220</v>
      </c>
      <c r="H87" s="142" t="s">
        <v>128</v>
      </c>
      <c r="I87" s="34"/>
    </row>
    <row r="88" spans="1:9" ht="36" x14ac:dyDescent="0.2">
      <c r="A88" s="16" t="s">
        <v>216</v>
      </c>
      <c r="B88" s="92" t="s">
        <v>269</v>
      </c>
      <c r="C88" s="255"/>
      <c r="D88" s="19" t="s">
        <v>177</v>
      </c>
      <c r="E88" s="19" t="s">
        <v>177</v>
      </c>
      <c r="F88" s="21">
        <f>(218300/1.18)/1000*$F$5</f>
        <v>185</v>
      </c>
      <c r="G88" s="21">
        <f t="shared" si="3"/>
        <v>185</v>
      </c>
      <c r="H88" s="142" t="s">
        <v>128</v>
      </c>
      <c r="I88" s="34"/>
    </row>
    <row r="89" spans="1:9" ht="62.25" customHeight="1" x14ac:dyDescent="0.2">
      <c r="A89" s="16" t="s">
        <v>217</v>
      </c>
      <c r="B89" s="92" t="s">
        <v>270</v>
      </c>
      <c r="C89" s="255"/>
      <c r="D89" s="19" t="s">
        <v>177</v>
      </c>
      <c r="E89" s="19" t="s">
        <v>54</v>
      </c>
      <c r="F89" s="21">
        <f>(390000)/1000*$F$5</f>
        <v>390</v>
      </c>
      <c r="G89" s="21">
        <f t="shared" si="3"/>
        <v>390</v>
      </c>
      <c r="H89" s="142" t="s">
        <v>175</v>
      </c>
      <c r="I89" s="34"/>
    </row>
    <row r="90" spans="1:9" ht="24" x14ac:dyDescent="0.2">
      <c r="A90" s="16" t="s">
        <v>309</v>
      </c>
      <c r="B90" s="92" t="s">
        <v>271</v>
      </c>
      <c r="C90" s="255"/>
      <c r="D90" s="19" t="s">
        <v>12</v>
      </c>
      <c r="E90" s="19" t="s">
        <v>12</v>
      </c>
      <c r="F90" s="21">
        <f>(279660/1.18)/1000*$F$5</f>
        <v>237</v>
      </c>
      <c r="G90" s="21">
        <f t="shared" si="3"/>
        <v>237</v>
      </c>
      <c r="H90" s="142" t="s">
        <v>178</v>
      </c>
      <c r="I90" s="34"/>
    </row>
    <row r="91" spans="1:9" ht="36" x14ac:dyDescent="0.2">
      <c r="A91" s="16" t="s">
        <v>310</v>
      </c>
      <c r="B91" s="92" t="s">
        <v>272</v>
      </c>
      <c r="C91" s="255"/>
      <c r="D91" s="19" t="s">
        <v>179</v>
      </c>
      <c r="E91" s="19" t="s">
        <v>52</v>
      </c>
      <c r="F91" s="21">
        <f>(731598.82/1.18)/1000*$F$5</f>
        <v>619.99900000000002</v>
      </c>
      <c r="G91" s="21">
        <f t="shared" si="3"/>
        <v>619.99900000000002</v>
      </c>
      <c r="H91" s="142" t="s">
        <v>178</v>
      </c>
      <c r="I91" s="34"/>
    </row>
    <row r="92" spans="1:9" ht="24" x14ac:dyDescent="0.2">
      <c r="A92" s="16" t="s">
        <v>311</v>
      </c>
      <c r="B92" s="92" t="s">
        <v>273</v>
      </c>
      <c r="C92" s="255"/>
      <c r="D92" s="19" t="s">
        <v>181</v>
      </c>
      <c r="E92" s="19" t="s">
        <v>51</v>
      </c>
      <c r="F92" s="21">
        <f>(70800/1.18)/1000*$F$5</f>
        <v>60</v>
      </c>
      <c r="G92" s="21">
        <f t="shared" si="3"/>
        <v>60</v>
      </c>
      <c r="H92" s="142" t="s">
        <v>180</v>
      </c>
      <c r="I92" s="34"/>
    </row>
    <row r="93" spans="1:9" ht="60" x14ac:dyDescent="0.2">
      <c r="A93" s="16" t="s">
        <v>312</v>
      </c>
      <c r="B93" s="92" t="s">
        <v>274</v>
      </c>
      <c r="C93" s="255"/>
      <c r="D93" s="19" t="s">
        <v>56</v>
      </c>
      <c r="E93" s="19" t="s">
        <v>129</v>
      </c>
      <c r="F93" s="21">
        <f>(300000)/1000*$F$5</f>
        <v>300</v>
      </c>
      <c r="G93" s="21">
        <f t="shared" si="3"/>
        <v>300</v>
      </c>
      <c r="H93" s="142" t="s">
        <v>178</v>
      </c>
      <c r="I93" s="34"/>
    </row>
    <row r="94" spans="1:9" ht="60" x14ac:dyDescent="0.2">
      <c r="A94" s="16" t="s">
        <v>313</v>
      </c>
      <c r="B94" s="92" t="s">
        <v>275</v>
      </c>
      <c r="C94" s="255"/>
      <c r="D94" s="19" t="s">
        <v>56</v>
      </c>
      <c r="E94" s="19" t="s">
        <v>52</v>
      </c>
      <c r="F94" s="21">
        <f>(780000)/1000*$F$5</f>
        <v>780</v>
      </c>
      <c r="G94" s="21">
        <f t="shared" si="3"/>
        <v>780</v>
      </c>
      <c r="H94" s="142" t="s">
        <v>175</v>
      </c>
      <c r="I94" s="34"/>
    </row>
    <row r="95" spans="1:9" x14ac:dyDescent="0.2">
      <c r="A95" s="16" t="s">
        <v>314</v>
      </c>
      <c r="B95" s="48" t="s">
        <v>276</v>
      </c>
      <c r="C95" s="49"/>
      <c r="D95" s="19" t="s">
        <v>132</v>
      </c>
      <c r="E95" s="19" t="s">
        <v>7</v>
      </c>
      <c r="F95" s="21">
        <f>(2285000)/1000*$F$5</f>
        <v>2285</v>
      </c>
      <c r="G95" s="21">
        <f t="shared" si="3"/>
        <v>2285</v>
      </c>
      <c r="H95" s="142" t="s">
        <v>182</v>
      </c>
      <c r="I95" s="34"/>
    </row>
    <row r="96" spans="1:9" ht="36" x14ac:dyDescent="0.2">
      <c r="A96" s="16" t="s">
        <v>315</v>
      </c>
      <c r="B96" s="92" t="s">
        <v>277</v>
      </c>
      <c r="C96" s="49"/>
      <c r="D96" s="19" t="s">
        <v>4</v>
      </c>
      <c r="E96" s="19" t="s">
        <v>14</v>
      </c>
      <c r="F96" s="21">
        <f>(7400000)/1000*$F$5</f>
        <v>7400</v>
      </c>
      <c r="G96" s="21">
        <f>F96-(3960545+263553)/1000*$F$5</f>
        <v>3175.902</v>
      </c>
      <c r="H96" s="142" t="s">
        <v>136</v>
      </c>
      <c r="I96" s="34"/>
    </row>
    <row r="97" spans="1:9" x14ac:dyDescent="0.2">
      <c r="A97" s="16" t="s">
        <v>316</v>
      </c>
      <c r="B97" s="92" t="s">
        <v>278</v>
      </c>
      <c r="C97" s="49"/>
      <c r="D97" s="19" t="s">
        <v>24</v>
      </c>
      <c r="E97" s="19" t="s">
        <v>95</v>
      </c>
      <c r="F97" s="21">
        <f>(1949000)/1000*$F$5</f>
        <v>1949</v>
      </c>
      <c r="G97" s="21">
        <f t="shared" si="3"/>
        <v>1949</v>
      </c>
      <c r="H97" s="142" t="s">
        <v>182</v>
      </c>
      <c r="I97" s="34"/>
    </row>
    <row r="98" spans="1:9" x14ac:dyDescent="0.2">
      <c r="A98" s="16" t="s">
        <v>317</v>
      </c>
      <c r="B98" s="92" t="s">
        <v>279</v>
      </c>
      <c r="C98" s="49"/>
      <c r="D98" s="19" t="s">
        <v>91</v>
      </c>
      <c r="E98" s="19" t="s">
        <v>93</v>
      </c>
      <c r="F98" s="21">
        <f>(460000)/1000*$F$5</f>
        <v>460</v>
      </c>
      <c r="G98" s="21">
        <f t="shared" si="3"/>
        <v>460</v>
      </c>
      <c r="H98" s="142" t="s">
        <v>182</v>
      </c>
      <c r="I98" s="34"/>
    </row>
    <row r="99" spans="1:9" ht="36" x14ac:dyDescent="0.2">
      <c r="A99" s="16" t="s">
        <v>318</v>
      </c>
      <c r="B99" s="92" t="s">
        <v>280</v>
      </c>
      <c r="C99" s="49"/>
      <c r="D99" s="19" t="s">
        <v>137</v>
      </c>
      <c r="E99" s="19" t="s">
        <v>139</v>
      </c>
      <c r="F99" s="21">
        <f>(777278)/1000*$F$5</f>
        <v>777.27800000000002</v>
      </c>
      <c r="G99" s="21">
        <f>F99-(98229)/1000*$F$5</f>
        <v>679.04899999999998</v>
      </c>
      <c r="H99" s="142" t="s">
        <v>183</v>
      </c>
      <c r="I99" s="34"/>
    </row>
    <row r="100" spans="1:9" ht="36" x14ac:dyDescent="0.2">
      <c r="A100" s="16" t="s">
        <v>319</v>
      </c>
      <c r="B100" s="92" t="s">
        <v>281</v>
      </c>
      <c r="C100" s="49"/>
      <c r="D100" s="19" t="s">
        <v>137</v>
      </c>
      <c r="E100" s="19" t="s">
        <v>139</v>
      </c>
      <c r="F100" s="21">
        <f>(956000)/1000*$F$5</f>
        <v>956</v>
      </c>
      <c r="G100" s="21">
        <f>F100-(341273)/1000*$F$5</f>
        <v>614.72699999999998</v>
      </c>
      <c r="H100" s="142" t="s">
        <v>183</v>
      </c>
      <c r="I100" s="34"/>
    </row>
    <row r="101" spans="1:9" ht="36" x14ac:dyDescent="0.2">
      <c r="A101" s="16" t="s">
        <v>320</v>
      </c>
      <c r="B101" s="92" t="s">
        <v>282</v>
      </c>
      <c r="C101" s="49"/>
      <c r="D101" s="19" t="s">
        <v>137</v>
      </c>
      <c r="E101" s="19" t="s">
        <v>139</v>
      </c>
      <c r="F101" s="21">
        <f>(790000)/1000*$F$5</f>
        <v>790</v>
      </c>
      <c r="G101" s="21">
        <f>F101-(222000)/1000*$F$5</f>
        <v>568</v>
      </c>
      <c r="H101" s="142" t="s">
        <v>183</v>
      </c>
      <c r="I101" s="34"/>
    </row>
    <row r="102" spans="1:9" ht="29.25" customHeight="1" x14ac:dyDescent="0.2">
      <c r="A102" s="16" t="s">
        <v>321</v>
      </c>
      <c r="B102" s="92" t="s">
        <v>283</v>
      </c>
      <c r="C102" s="49"/>
      <c r="D102" s="19" t="s">
        <v>16</v>
      </c>
      <c r="E102" s="19" t="s">
        <v>11</v>
      </c>
      <c r="F102" s="21">
        <f>(333000)/1000*$F$5</f>
        <v>333</v>
      </c>
      <c r="G102" s="21">
        <f t="shared" si="3"/>
        <v>333</v>
      </c>
      <c r="H102" s="142" t="s">
        <v>182</v>
      </c>
      <c r="I102" s="34"/>
    </row>
    <row r="103" spans="1:9" ht="31.5" customHeight="1" x14ac:dyDescent="0.2">
      <c r="A103" s="17" t="s">
        <v>322</v>
      </c>
      <c r="B103" s="93" t="s">
        <v>284</v>
      </c>
      <c r="C103" s="130"/>
      <c r="D103" s="12" t="s">
        <v>107</v>
      </c>
      <c r="E103" s="12" t="s">
        <v>11</v>
      </c>
      <c r="F103" s="147">
        <f>(1356000)/1000*$F$5</f>
        <v>1356</v>
      </c>
      <c r="G103" s="147">
        <f t="shared" si="3"/>
        <v>1356</v>
      </c>
      <c r="H103" s="148" t="s">
        <v>182</v>
      </c>
      <c r="I103" s="32"/>
    </row>
    <row r="104" spans="1:9" ht="30.75" customHeight="1" x14ac:dyDescent="0.2">
      <c r="A104" s="52" t="s">
        <v>212</v>
      </c>
      <c r="B104" s="41" t="s">
        <v>285</v>
      </c>
      <c r="C104" s="254" t="s">
        <v>208</v>
      </c>
      <c r="D104" s="18"/>
      <c r="E104" s="18"/>
      <c r="F104" s="146">
        <f t="shared" ref="F104:F112" si="7">(0)/1000*$F$5</f>
        <v>0</v>
      </c>
      <c r="G104" s="146">
        <f t="shared" si="3"/>
        <v>0</v>
      </c>
      <c r="H104" s="141"/>
      <c r="I104" s="35"/>
    </row>
    <row r="105" spans="1:9" ht="36" x14ac:dyDescent="0.2">
      <c r="A105" s="16" t="s">
        <v>323</v>
      </c>
      <c r="B105" s="92" t="s">
        <v>286</v>
      </c>
      <c r="C105" s="255"/>
      <c r="D105" s="19" t="s">
        <v>209</v>
      </c>
      <c r="E105" s="19" t="s">
        <v>9</v>
      </c>
      <c r="F105" s="21">
        <f>(2597207)/1000*$F$5</f>
        <v>2597.2069999999999</v>
      </c>
      <c r="G105" s="21">
        <f t="shared" si="3"/>
        <v>2597.2069999999999</v>
      </c>
      <c r="H105" s="142" t="s">
        <v>210</v>
      </c>
      <c r="I105" s="34"/>
    </row>
    <row r="106" spans="1:9" ht="36" x14ac:dyDescent="0.2">
      <c r="A106" s="16" t="s">
        <v>324</v>
      </c>
      <c r="B106" s="92" t="s">
        <v>287</v>
      </c>
      <c r="C106" s="255"/>
      <c r="D106" s="19" t="s">
        <v>211</v>
      </c>
      <c r="E106" s="19" t="s">
        <v>11</v>
      </c>
      <c r="F106" s="21">
        <f>(4745324)/1000*$F$5</f>
        <v>4745.3239999999996</v>
      </c>
      <c r="G106" s="21">
        <f t="shared" si="3"/>
        <v>4745.3239999999996</v>
      </c>
      <c r="H106" s="142" t="s">
        <v>182</v>
      </c>
      <c r="I106" s="34"/>
    </row>
    <row r="107" spans="1:9" ht="24" x14ac:dyDescent="0.2">
      <c r="A107" s="16" t="s">
        <v>325</v>
      </c>
      <c r="B107" s="92" t="s">
        <v>288</v>
      </c>
      <c r="C107" s="255"/>
      <c r="D107" s="19" t="s">
        <v>211</v>
      </c>
      <c r="E107" s="19" t="s">
        <v>11</v>
      </c>
      <c r="F107" s="21">
        <f>(2553018)/1000*$F$5</f>
        <v>2553.018</v>
      </c>
      <c r="G107" s="21">
        <f t="shared" ref="G107:G114" si="8">F107-(0)/1000*$F$5</f>
        <v>2553.018</v>
      </c>
      <c r="H107" s="142" t="s">
        <v>182</v>
      </c>
      <c r="I107" s="34"/>
    </row>
    <row r="108" spans="1:9" ht="48" x14ac:dyDescent="0.2">
      <c r="A108" s="16" t="s">
        <v>326</v>
      </c>
      <c r="B108" s="92" t="s">
        <v>339</v>
      </c>
      <c r="C108" s="255"/>
      <c r="D108" s="19" t="s">
        <v>211</v>
      </c>
      <c r="E108" s="19" t="s">
        <v>11</v>
      </c>
      <c r="F108" s="21">
        <f>(500000)/1000*$F$5</f>
        <v>500</v>
      </c>
      <c r="G108" s="21">
        <f t="shared" si="8"/>
        <v>500</v>
      </c>
      <c r="H108" s="142" t="s">
        <v>182</v>
      </c>
      <c r="I108" s="34"/>
    </row>
    <row r="109" spans="1:9" ht="46.5" customHeight="1" x14ac:dyDescent="0.2">
      <c r="A109" s="16" t="s">
        <v>327</v>
      </c>
      <c r="B109" s="92" t="s">
        <v>289</v>
      </c>
      <c r="C109" s="49"/>
      <c r="D109" s="19" t="s">
        <v>16</v>
      </c>
      <c r="E109" s="19" t="s">
        <v>107</v>
      </c>
      <c r="F109" s="21">
        <f>(299973)/1000*$F$5</f>
        <v>299.97300000000001</v>
      </c>
      <c r="G109" s="21">
        <f t="shared" si="8"/>
        <v>299.97300000000001</v>
      </c>
      <c r="H109" s="142" t="s">
        <v>182</v>
      </c>
      <c r="I109" s="34"/>
    </row>
    <row r="110" spans="1:9" ht="39.75" customHeight="1" x14ac:dyDescent="0.2">
      <c r="A110" s="52" t="s">
        <v>328</v>
      </c>
      <c r="B110" s="41" t="s">
        <v>291</v>
      </c>
      <c r="C110" s="254" t="s">
        <v>218</v>
      </c>
      <c r="D110" s="18"/>
      <c r="E110" s="18"/>
      <c r="F110" s="146">
        <f t="shared" si="7"/>
        <v>0</v>
      </c>
      <c r="G110" s="146">
        <f t="shared" si="8"/>
        <v>0</v>
      </c>
      <c r="H110" s="141"/>
      <c r="I110" s="35"/>
    </row>
    <row r="111" spans="1:9" ht="60.75" customHeight="1" x14ac:dyDescent="0.2">
      <c r="A111" s="16" t="s">
        <v>329</v>
      </c>
      <c r="B111" s="92" t="s">
        <v>290</v>
      </c>
      <c r="C111" s="256"/>
      <c r="D111" s="12" t="s">
        <v>104</v>
      </c>
      <c r="E111" s="63" t="s">
        <v>62</v>
      </c>
      <c r="F111" s="147">
        <f>(485000)/1000*$F$5</f>
        <v>485</v>
      </c>
      <c r="G111" s="147">
        <f t="shared" si="8"/>
        <v>485</v>
      </c>
      <c r="H111" s="142" t="s">
        <v>669</v>
      </c>
      <c r="I111" s="34"/>
    </row>
    <row r="112" spans="1:9" ht="48" customHeight="1" x14ac:dyDescent="0.2">
      <c r="A112" s="45" t="s">
        <v>330</v>
      </c>
      <c r="B112" s="41" t="s">
        <v>342</v>
      </c>
      <c r="C112" s="254" t="s">
        <v>340</v>
      </c>
      <c r="D112" s="19"/>
      <c r="E112" s="19"/>
      <c r="F112" s="21">
        <f t="shared" si="7"/>
        <v>0</v>
      </c>
      <c r="G112" s="21">
        <f t="shared" si="8"/>
        <v>0</v>
      </c>
      <c r="H112" s="141"/>
      <c r="I112" s="35"/>
    </row>
    <row r="113" spans="1:10" ht="52.5" customHeight="1" x14ac:dyDescent="0.2">
      <c r="A113" s="16" t="s">
        <v>331</v>
      </c>
      <c r="B113" s="92" t="s">
        <v>292</v>
      </c>
      <c r="C113" s="255"/>
      <c r="D113" s="19" t="s">
        <v>181</v>
      </c>
      <c r="E113" s="19" t="s">
        <v>54</v>
      </c>
      <c r="F113" s="21">
        <f>(689928.84)/1000*$F$5</f>
        <v>689.92883999999992</v>
      </c>
      <c r="G113" s="21">
        <f t="shared" si="8"/>
        <v>689.92883999999992</v>
      </c>
      <c r="H113" s="142" t="s">
        <v>219</v>
      </c>
      <c r="I113" s="34"/>
    </row>
    <row r="114" spans="1:10" ht="36" x14ac:dyDescent="0.2">
      <c r="A114" s="16" t="s">
        <v>332</v>
      </c>
      <c r="B114" s="93" t="s">
        <v>293</v>
      </c>
      <c r="C114" s="255"/>
      <c r="D114" s="12" t="s">
        <v>181</v>
      </c>
      <c r="E114" s="12" t="s">
        <v>54</v>
      </c>
      <c r="F114" s="147">
        <f>(669986.7)/1000*$F$5</f>
        <v>669.98669999999993</v>
      </c>
      <c r="G114" s="147">
        <f t="shared" si="8"/>
        <v>669.98669999999993</v>
      </c>
      <c r="H114" s="148" t="s">
        <v>670</v>
      </c>
      <c r="I114" s="32"/>
    </row>
    <row r="115" spans="1:10" ht="42" customHeight="1" x14ac:dyDescent="0.2">
      <c r="A115" s="45" t="s">
        <v>356</v>
      </c>
      <c r="B115" s="107" t="s">
        <v>355</v>
      </c>
      <c r="C115" s="257" t="s">
        <v>361</v>
      </c>
      <c r="D115" s="105"/>
      <c r="E115" s="92"/>
      <c r="F115" s="92"/>
      <c r="G115" s="92"/>
      <c r="H115" s="141"/>
      <c r="I115" s="35"/>
    </row>
    <row r="116" spans="1:10" ht="42" customHeight="1" x14ac:dyDescent="0.2">
      <c r="A116" s="56" t="s">
        <v>357</v>
      </c>
      <c r="B116" s="104" t="s">
        <v>358</v>
      </c>
      <c r="C116" s="258"/>
      <c r="D116" s="106" t="s">
        <v>132</v>
      </c>
      <c r="E116" s="19" t="s">
        <v>60</v>
      </c>
      <c r="F116" s="21">
        <f>(13558188)/1000*$F$5</f>
        <v>13558.188</v>
      </c>
      <c r="G116" s="21">
        <f>F116-(469389+1258717+530611+1765439)/1000*$F$5</f>
        <v>9534.0319999999992</v>
      </c>
      <c r="H116" s="142" t="s">
        <v>368</v>
      </c>
      <c r="I116" s="34"/>
      <c r="J116" s="62" t="s">
        <v>369</v>
      </c>
    </row>
    <row r="117" spans="1:10" ht="33" customHeight="1" x14ac:dyDescent="0.2">
      <c r="A117" s="56" t="s">
        <v>360</v>
      </c>
      <c r="B117" s="104" t="s">
        <v>359</v>
      </c>
      <c r="C117" s="258"/>
      <c r="D117" s="106" t="s">
        <v>91</v>
      </c>
      <c r="E117" s="19" t="s">
        <v>95</v>
      </c>
      <c r="F117" s="21">
        <f>(2385000)/1000*$F$5</f>
        <v>2385</v>
      </c>
      <c r="G117" s="21">
        <f t="shared" ref="G117:G118" si="9">F117-(0)/1000*$F$5</f>
        <v>2385</v>
      </c>
      <c r="H117" s="19" t="s">
        <v>371</v>
      </c>
      <c r="I117" s="19"/>
      <c r="J117" s="1" t="s">
        <v>370</v>
      </c>
    </row>
    <row r="118" spans="1:10" ht="227.25" customHeight="1" x14ac:dyDescent="0.2">
      <c r="A118" s="75" t="s">
        <v>366</v>
      </c>
      <c r="B118" s="93" t="s">
        <v>365</v>
      </c>
      <c r="C118" s="93" t="s">
        <v>686</v>
      </c>
      <c r="D118" s="12" t="s">
        <v>4</v>
      </c>
      <c r="E118" s="12" t="s">
        <v>5</v>
      </c>
      <c r="F118" s="147">
        <f>(10567316+8421143+7072314+700000+6014061)/1000*$F$5</f>
        <v>32774.834000000003</v>
      </c>
      <c r="G118" s="147">
        <f t="shared" si="9"/>
        <v>32774.834000000003</v>
      </c>
      <c r="H118" s="148" t="s">
        <v>536</v>
      </c>
      <c r="I118" s="32"/>
      <c r="J118" s="62" t="s">
        <v>367</v>
      </c>
    </row>
    <row r="119" spans="1:10" ht="96" customHeight="1" x14ac:dyDescent="0.2">
      <c r="A119" s="61" t="s">
        <v>343</v>
      </c>
      <c r="B119" s="92" t="s">
        <v>672</v>
      </c>
      <c r="C119" s="254" t="s">
        <v>671</v>
      </c>
      <c r="D119" s="12" t="s">
        <v>126</v>
      </c>
      <c r="E119" s="12" t="s">
        <v>295</v>
      </c>
      <c r="F119" s="147">
        <f>(83139502.68)/1000*$F$5</f>
        <v>83139.502680000005</v>
      </c>
      <c r="G119" s="147">
        <f>F119-(6200000+10529012+8438715+108814)/1000*$F$5</f>
        <v>57862.961680000008</v>
      </c>
      <c r="H119" s="148" t="s">
        <v>341</v>
      </c>
      <c r="I119" s="32"/>
    </row>
    <row r="120" spans="1:10" ht="119.25" customHeight="1" x14ac:dyDescent="0.2">
      <c r="A120" s="17" t="s">
        <v>343</v>
      </c>
      <c r="B120" s="129" t="s">
        <v>344</v>
      </c>
      <c r="C120" s="255"/>
      <c r="D120" s="11" t="s">
        <v>176</v>
      </c>
      <c r="E120" s="11" t="s">
        <v>11</v>
      </c>
      <c r="F120" s="147">
        <f>(18470000+6000000+43638688+35800000)/1000*$F$5</f>
        <v>103908.68799999999</v>
      </c>
      <c r="G120" s="147">
        <f>F120-(6226282+584574+1856603+1161147+12527+807520+625000+1980019)/1000*$F$5</f>
        <v>90655.015999999989</v>
      </c>
      <c r="H120" s="2" t="s">
        <v>348</v>
      </c>
      <c r="I120" s="3"/>
      <c r="J120" s="62" t="s">
        <v>345</v>
      </c>
    </row>
    <row r="121" spans="1:10" ht="180" x14ac:dyDescent="0.2">
      <c r="A121" s="17">
        <v>11</v>
      </c>
      <c r="B121" s="2" t="s">
        <v>347</v>
      </c>
      <c r="C121" s="255"/>
      <c r="D121" s="11" t="s">
        <v>176</v>
      </c>
      <c r="E121" s="11" t="s">
        <v>9</v>
      </c>
      <c r="F121" s="147">
        <f>(17300000+16253101+2100000+19600000)/1000*$F$5</f>
        <v>55253.101000000002</v>
      </c>
      <c r="G121" s="147">
        <f>F121-(2581571+57053+300000)/1000*$F$5</f>
        <v>52314.476999999999</v>
      </c>
      <c r="H121" s="4" t="s">
        <v>349</v>
      </c>
      <c r="I121" s="3"/>
      <c r="J121" s="62" t="s">
        <v>350</v>
      </c>
    </row>
    <row r="122" spans="1:10" ht="60" x14ac:dyDescent="0.2">
      <c r="A122" s="17" t="s">
        <v>362</v>
      </c>
      <c r="B122" s="94" t="s">
        <v>351</v>
      </c>
      <c r="C122" s="255"/>
      <c r="D122" s="11" t="s">
        <v>51</v>
      </c>
      <c r="E122" s="11" t="s">
        <v>52</v>
      </c>
      <c r="F122" s="147">
        <f>(6478556)/1000*$F$5</f>
        <v>6478.5559999999996</v>
      </c>
      <c r="G122" s="147">
        <f>F122-(5170957)/1000*$F$5</f>
        <v>1307.5989999999993</v>
      </c>
      <c r="H122" s="2" t="s">
        <v>352</v>
      </c>
      <c r="I122" s="3"/>
      <c r="J122" s="1" t="s">
        <v>353</v>
      </c>
    </row>
    <row r="123" spans="1:10" ht="60" x14ac:dyDescent="0.2">
      <c r="A123" s="17" t="s">
        <v>363</v>
      </c>
      <c r="B123" s="94" t="s">
        <v>800</v>
      </c>
      <c r="C123" s="255"/>
      <c r="D123" s="11" t="s">
        <v>49</v>
      </c>
      <c r="E123" s="11" t="s">
        <v>9</v>
      </c>
      <c r="F123" s="147">
        <f>(24038994+777000)/1000*$F$5</f>
        <v>24815.993999999999</v>
      </c>
      <c r="G123" s="147">
        <f>F123-(2293986+1543444+4453835)/1000*$F$5</f>
        <v>16524.728999999999</v>
      </c>
      <c r="H123" s="66" t="s">
        <v>372</v>
      </c>
      <c r="I123" s="3"/>
      <c r="J123" s="62" t="s">
        <v>354</v>
      </c>
    </row>
    <row r="124" spans="1:10" ht="48" x14ac:dyDescent="0.2">
      <c r="A124" s="17" t="s">
        <v>392</v>
      </c>
      <c r="B124" s="94" t="s">
        <v>801</v>
      </c>
      <c r="C124" s="255"/>
      <c r="D124" s="11" t="s">
        <v>124</v>
      </c>
      <c r="E124" s="11" t="s">
        <v>35</v>
      </c>
      <c r="F124" s="147">
        <f>(5116926)/1000*$F$5</f>
        <v>5116.9260000000004</v>
      </c>
      <c r="G124" s="147">
        <f>F124-(199477+243074)/1000*$F$5</f>
        <v>4674.375</v>
      </c>
      <c r="H124" s="66" t="s">
        <v>373</v>
      </c>
      <c r="I124" s="3"/>
      <c r="J124" s="62" t="s">
        <v>374</v>
      </c>
    </row>
    <row r="125" spans="1:10" ht="60" x14ac:dyDescent="0.2">
      <c r="A125" s="17" t="s">
        <v>393</v>
      </c>
      <c r="B125" s="94" t="s">
        <v>802</v>
      </c>
      <c r="C125" s="255"/>
      <c r="D125" s="11" t="s">
        <v>132</v>
      </c>
      <c r="E125" s="11" t="s">
        <v>377</v>
      </c>
      <c r="F125" s="147">
        <f>(1730000+1570000)/1000*$F$5</f>
        <v>3300</v>
      </c>
      <c r="G125" s="147">
        <f>F125-(1422391)/1000*$F$5</f>
        <v>1877.6089999999999</v>
      </c>
      <c r="H125" s="66" t="s">
        <v>375</v>
      </c>
      <c r="I125" s="3"/>
      <c r="J125" s="62" t="s">
        <v>376</v>
      </c>
    </row>
    <row r="126" spans="1:10" ht="48" x14ac:dyDescent="0.2">
      <c r="A126" s="17" t="s">
        <v>394</v>
      </c>
      <c r="B126" s="94" t="s">
        <v>379</v>
      </c>
      <c r="C126" s="255"/>
      <c r="D126" s="11" t="s">
        <v>14</v>
      </c>
      <c r="E126" s="11" t="s">
        <v>7</v>
      </c>
      <c r="F126" s="147">
        <f>(990000)/1000*$F$5</f>
        <v>990</v>
      </c>
      <c r="G126" s="147">
        <f>F126-(0)/1000*$F$5</f>
        <v>990</v>
      </c>
      <c r="H126" s="66" t="s">
        <v>378</v>
      </c>
      <c r="I126" s="3"/>
      <c r="J126" s="62" t="s">
        <v>380</v>
      </c>
    </row>
    <row r="127" spans="1:10" ht="84" x14ac:dyDescent="0.2">
      <c r="A127" s="17" t="s">
        <v>395</v>
      </c>
      <c r="B127" s="94" t="s">
        <v>381</v>
      </c>
      <c r="C127" s="255"/>
      <c r="D127" s="11" t="s">
        <v>24</v>
      </c>
      <c r="E127" s="11" t="s">
        <v>11</v>
      </c>
      <c r="F127" s="147">
        <f>(1430000)/1000*$F$5</f>
        <v>1430</v>
      </c>
      <c r="G127" s="147">
        <f>F127-(0)/1000*$F$5</f>
        <v>1430</v>
      </c>
      <c r="H127" s="66" t="s">
        <v>382</v>
      </c>
      <c r="I127" s="3"/>
      <c r="J127" s="68" t="s">
        <v>383</v>
      </c>
    </row>
    <row r="128" spans="1:10" ht="72" x14ac:dyDescent="0.2">
      <c r="A128" s="17" t="s">
        <v>396</v>
      </c>
      <c r="B128" s="94" t="s">
        <v>674</v>
      </c>
      <c r="C128" s="255"/>
      <c r="D128" s="11" t="s">
        <v>86</v>
      </c>
      <c r="E128" s="11" t="s">
        <v>16</v>
      </c>
      <c r="F128" s="147">
        <f>(1269000+1511338)/1000*$F$5</f>
        <v>2780.3380000000002</v>
      </c>
      <c r="G128" s="147">
        <f>F128-(0)/1000*$F$5</f>
        <v>2780.3380000000002</v>
      </c>
      <c r="H128" s="66" t="s">
        <v>384</v>
      </c>
      <c r="I128" s="3"/>
      <c r="J128" s="69" t="s">
        <v>385</v>
      </c>
    </row>
    <row r="129" spans="1:10" ht="36" x14ac:dyDescent="0.2">
      <c r="A129" s="16" t="s">
        <v>397</v>
      </c>
      <c r="B129" s="94" t="s">
        <v>673</v>
      </c>
      <c r="C129" s="256"/>
      <c r="D129" s="18" t="s">
        <v>16</v>
      </c>
      <c r="E129" s="18" t="s">
        <v>15</v>
      </c>
      <c r="F129" s="21">
        <f>(5970000)/1000*$F$5</f>
        <v>5970</v>
      </c>
      <c r="G129" s="21">
        <f>F129-(404688+1840498)/1000*$F$5</f>
        <v>3724.8139999999999</v>
      </c>
      <c r="H129" s="108" t="s">
        <v>386</v>
      </c>
      <c r="I129" s="35"/>
      <c r="J129" s="68" t="s">
        <v>387</v>
      </c>
    </row>
    <row r="130" spans="1:10" ht="39" customHeight="1" x14ac:dyDescent="0.2">
      <c r="A130" s="45" t="s">
        <v>398</v>
      </c>
      <c r="B130" s="94" t="s">
        <v>390</v>
      </c>
      <c r="C130" s="265" t="s">
        <v>402</v>
      </c>
      <c r="D130" s="18"/>
      <c r="E130" s="18"/>
      <c r="F130" s="146"/>
      <c r="G130" s="146"/>
      <c r="H130" s="108"/>
      <c r="I130" s="14"/>
      <c r="J130" s="62"/>
    </row>
    <row r="131" spans="1:10" ht="123" customHeight="1" x14ac:dyDescent="0.2">
      <c r="A131" s="16" t="s">
        <v>399</v>
      </c>
      <c r="B131" s="92" t="s">
        <v>391</v>
      </c>
      <c r="C131" s="266"/>
      <c r="D131" s="19" t="s">
        <v>389</v>
      </c>
      <c r="E131" s="19"/>
      <c r="F131" s="21">
        <f>(46178318)/1000*$F$5</f>
        <v>46178.317999999999</v>
      </c>
      <c r="G131" s="21">
        <f>F131-(1471085+2237239+429854+2062761)/1000*$F$5</f>
        <v>39977.379000000001</v>
      </c>
      <c r="H131" s="58" t="s">
        <v>537</v>
      </c>
      <c r="I131" s="15"/>
      <c r="J131" s="62" t="s">
        <v>388</v>
      </c>
    </row>
    <row r="132" spans="1:10" ht="36" customHeight="1" x14ac:dyDescent="0.2">
      <c r="A132" s="17" t="s">
        <v>400</v>
      </c>
      <c r="B132" s="93" t="s">
        <v>404</v>
      </c>
      <c r="C132" s="266"/>
      <c r="D132" s="12" t="s">
        <v>177</v>
      </c>
      <c r="E132" s="12" t="s">
        <v>177</v>
      </c>
      <c r="F132" s="147">
        <f>(1750000)/1000*$F$5</f>
        <v>1750</v>
      </c>
      <c r="G132" s="147">
        <f>F132-(0)/1000*$F$5</f>
        <v>1750</v>
      </c>
      <c r="H132" s="109" t="s">
        <v>386</v>
      </c>
      <c r="I132" s="110"/>
      <c r="J132" s="62" t="s">
        <v>401</v>
      </c>
    </row>
    <row r="133" spans="1:10" ht="36" x14ac:dyDescent="0.2">
      <c r="A133" s="17" t="s">
        <v>403</v>
      </c>
      <c r="B133" s="92" t="s">
        <v>407</v>
      </c>
      <c r="C133" s="266"/>
      <c r="D133" s="12" t="s">
        <v>126</v>
      </c>
      <c r="E133" s="12" t="s">
        <v>8</v>
      </c>
      <c r="F133" s="147">
        <f>(900000)/1000*$F$5</f>
        <v>900</v>
      </c>
      <c r="G133" s="147">
        <f>F133-(0)/1000*$F$5</f>
        <v>900</v>
      </c>
      <c r="H133" s="109" t="s">
        <v>405</v>
      </c>
      <c r="I133" s="32"/>
      <c r="J133" s="62" t="s">
        <v>411</v>
      </c>
    </row>
    <row r="134" spans="1:10" ht="36" x14ac:dyDescent="0.2">
      <c r="A134" s="17" t="s">
        <v>408</v>
      </c>
      <c r="B134" s="94" t="s">
        <v>406</v>
      </c>
      <c r="C134" s="266"/>
      <c r="D134" s="11" t="s">
        <v>410</v>
      </c>
      <c r="E134" s="11" t="s">
        <v>410</v>
      </c>
      <c r="F134" s="147">
        <f>(840000)/1000*$F$5</f>
        <v>840</v>
      </c>
      <c r="G134" s="147">
        <f t="shared" ref="G134:G139" si="10">F134-(0)/1000*$F$5</f>
        <v>840</v>
      </c>
      <c r="H134" s="2" t="s">
        <v>409</v>
      </c>
      <c r="I134" s="3"/>
      <c r="J134" s="1" t="s">
        <v>412</v>
      </c>
    </row>
    <row r="135" spans="1:10" ht="36" x14ac:dyDescent="0.2">
      <c r="A135" s="17" t="s">
        <v>416</v>
      </c>
      <c r="B135" s="94" t="s">
        <v>413</v>
      </c>
      <c r="C135" s="266"/>
      <c r="D135" s="11" t="s">
        <v>12</v>
      </c>
      <c r="E135" s="11" t="s">
        <v>52</v>
      </c>
      <c r="F135" s="147">
        <f>(1150000)/1000*$F$5</f>
        <v>1150</v>
      </c>
      <c r="G135" s="147">
        <f t="shared" si="10"/>
        <v>1150</v>
      </c>
      <c r="H135" s="2" t="s">
        <v>414</v>
      </c>
      <c r="I135" s="3"/>
      <c r="J135" s="1" t="s">
        <v>425</v>
      </c>
    </row>
    <row r="136" spans="1:10" ht="36" x14ac:dyDescent="0.2">
      <c r="A136" s="45" t="s">
        <v>417</v>
      </c>
      <c r="B136" s="94" t="s">
        <v>415</v>
      </c>
      <c r="C136" s="266"/>
      <c r="D136" s="18"/>
      <c r="E136" s="18"/>
      <c r="F136" s="146"/>
      <c r="G136" s="146"/>
      <c r="H136" s="108"/>
      <c r="I136" s="14"/>
    </row>
    <row r="137" spans="1:10" ht="24" x14ac:dyDescent="0.2">
      <c r="A137" s="16" t="s">
        <v>418</v>
      </c>
      <c r="B137" s="92" t="s">
        <v>419</v>
      </c>
      <c r="C137" s="266"/>
      <c r="D137" s="19" t="s">
        <v>12</v>
      </c>
      <c r="E137" s="19" t="s">
        <v>52</v>
      </c>
      <c r="F137" s="21">
        <f>(1291000)/1000*$F$5</f>
        <v>1291</v>
      </c>
      <c r="G137" s="21">
        <f t="shared" si="10"/>
        <v>1291</v>
      </c>
      <c r="H137" s="58" t="s">
        <v>422</v>
      </c>
      <c r="I137" s="15"/>
      <c r="J137" s="1" t="s">
        <v>424</v>
      </c>
    </row>
    <row r="138" spans="1:10" ht="24" x14ac:dyDescent="0.2">
      <c r="A138" s="17" t="s">
        <v>421</v>
      </c>
      <c r="B138" s="93" t="s">
        <v>420</v>
      </c>
      <c r="C138" s="266"/>
      <c r="D138" s="12" t="s">
        <v>49</v>
      </c>
      <c r="E138" s="12" t="s">
        <v>52</v>
      </c>
      <c r="F138" s="147">
        <f>(1227945)/1000*$F$5</f>
        <v>1227.9449999999999</v>
      </c>
      <c r="G138" s="147">
        <f t="shared" si="10"/>
        <v>1227.9449999999999</v>
      </c>
      <c r="H138" s="109" t="s">
        <v>422</v>
      </c>
      <c r="I138" s="110"/>
      <c r="J138" s="1" t="s">
        <v>423</v>
      </c>
    </row>
    <row r="139" spans="1:10" ht="36" x14ac:dyDescent="0.2">
      <c r="A139" s="17" t="s">
        <v>434</v>
      </c>
      <c r="B139" s="94" t="s">
        <v>426</v>
      </c>
      <c r="C139" s="267"/>
      <c r="D139" s="11" t="s">
        <v>427</v>
      </c>
      <c r="E139" s="11" t="s">
        <v>5</v>
      </c>
      <c r="F139" s="147">
        <f>(550000)/1000*$F$5</f>
        <v>550</v>
      </c>
      <c r="G139" s="147">
        <f t="shared" si="10"/>
        <v>550</v>
      </c>
      <c r="H139" s="2" t="s">
        <v>428</v>
      </c>
      <c r="I139" s="3"/>
      <c r="J139" s="1" t="s">
        <v>429</v>
      </c>
    </row>
    <row r="140" spans="1:10" ht="228" x14ac:dyDescent="0.2">
      <c r="A140" s="17">
        <v>26</v>
      </c>
      <c r="B140" s="2" t="s">
        <v>804</v>
      </c>
      <c r="C140" s="265" t="s">
        <v>28</v>
      </c>
      <c r="D140" s="11" t="s">
        <v>14</v>
      </c>
      <c r="E140" s="11" t="s">
        <v>11</v>
      </c>
      <c r="F140" s="147">
        <f>(390000000)/1000*$F$5</f>
        <v>390000</v>
      </c>
      <c r="G140" s="147">
        <f>F140-(10473000+2569000+38773249+1655506+4134020+386559+17036387+15325570+15342207+3454876+1477757+74199+980000)/1000*$F$5</f>
        <v>278317.67</v>
      </c>
      <c r="H140" s="2" t="s">
        <v>805</v>
      </c>
      <c r="I140" s="9"/>
    </row>
    <row r="141" spans="1:10" ht="96" x14ac:dyDescent="0.2">
      <c r="A141" s="17" t="s">
        <v>435</v>
      </c>
      <c r="B141" s="94" t="s">
        <v>803</v>
      </c>
      <c r="C141" s="267"/>
      <c r="D141" s="11" t="s">
        <v>84</v>
      </c>
      <c r="E141" s="11" t="s">
        <v>7</v>
      </c>
      <c r="F141" s="147">
        <f>(13244584)/1000*$F$5</f>
        <v>13244.584000000001</v>
      </c>
      <c r="G141" s="147">
        <f>F141-(3944931+1927740)/1000*$F$5</f>
        <v>7371.9130000000005</v>
      </c>
      <c r="H141" s="2" t="s">
        <v>430</v>
      </c>
      <c r="I141" s="3"/>
    </row>
    <row r="142" spans="1:10" ht="108" x14ac:dyDescent="0.2">
      <c r="A142" s="17" t="s">
        <v>436</v>
      </c>
      <c r="B142" s="94" t="s">
        <v>432</v>
      </c>
      <c r="C142" s="71" t="s">
        <v>433</v>
      </c>
      <c r="D142" s="11" t="s">
        <v>84</v>
      </c>
      <c r="E142" s="11" t="s">
        <v>84</v>
      </c>
      <c r="F142" s="147">
        <f>(500000)/1000*$F$5</f>
        <v>500</v>
      </c>
      <c r="G142" s="147">
        <f t="shared" ref="G142:G145" si="11">F142-(0)/1000*$F$5</f>
        <v>500</v>
      </c>
      <c r="H142" s="2" t="s">
        <v>431</v>
      </c>
      <c r="I142" s="3"/>
    </row>
    <row r="143" spans="1:10" ht="172.5" customHeight="1" x14ac:dyDescent="0.2">
      <c r="A143" s="17" t="s">
        <v>437</v>
      </c>
      <c r="B143" s="94" t="s">
        <v>765</v>
      </c>
      <c r="C143" s="71" t="s">
        <v>845</v>
      </c>
      <c r="D143" s="11" t="s">
        <v>14</v>
      </c>
      <c r="E143" s="11" t="s">
        <v>586</v>
      </c>
      <c r="F143" s="147">
        <f>(119096424)/1000*$F$5</f>
        <v>119096.424</v>
      </c>
      <c r="G143" s="147">
        <f>F143-(4720342+9389674+2380253+20611493+1300885+1430964+661059)/1000*$F$5</f>
        <v>78601.754000000001</v>
      </c>
      <c r="H143" s="2" t="s">
        <v>585</v>
      </c>
      <c r="I143" s="3"/>
      <c r="J143" s="1" t="s">
        <v>587</v>
      </c>
    </row>
    <row r="144" spans="1:10" ht="172.5" customHeight="1" x14ac:dyDescent="0.2">
      <c r="A144" s="17" t="s">
        <v>447</v>
      </c>
      <c r="B144" s="94" t="s">
        <v>625</v>
      </c>
      <c r="C144" s="71" t="s">
        <v>846</v>
      </c>
      <c r="D144" s="11" t="s">
        <v>95</v>
      </c>
      <c r="E144" s="11" t="s">
        <v>11</v>
      </c>
      <c r="F144" s="147">
        <f>(19671702+1204838+5361278)/1000*$F$5</f>
        <v>26237.817999999999</v>
      </c>
      <c r="G144" s="147">
        <f>F144-(1399023+56345+1515335)/1000*$F$5</f>
        <v>23267.114999999998</v>
      </c>
      <c r="H144" s="2" t="s">
        <v>627</v>
      </c>
      <c r="I144" s="3"/>
      <c r="J144" s="1" t="s">
        <v>626</v>
      </c>
    </row>
    <row r="145" spans="1:10" ht="39.75" customHeight="1" x14ac:dyDescent="0.2">
      <c r="A145" s="45" t="s">
        <v>450</v>
      </c>
      <c r="B145" s="94" t="s">
        <v>677</v>
      </c>
      <c r="C145" s="254" t="s">
        <v>675</v>
      </c>
      <c r="D145" s="18"/>
      <c r="E145" s="18"/>
      <c r="F145" s="146">
        <f t="shared" ref="F145:F181" si="12">(0)/1000*$F$5</f>
        <v>0</v>
      </c>
      <c r="G145" s="146">
        <f t="shared" si="11"/>
        <v>0</v>
      </c>
      <c r="H145" s="108"/>
      <c r="I145" s="14"/>
    </row>
    <row r="146" spans="1:10" ht="24" x14ac:dyDescent="0.2">
      <c r="A146" s="16" t="s">
        <v>454</v>
      </c>
      <c r="B146" s="92" t="s">
        <v>438</v>
      </c>
      <c r="C146" s="255"/>
      <c r="D146" s="19" t="s">
        <v>439</v>
      </c>
      <c r="E146" s="19" t="s">
        <v>126</v>
      </c>
      <c r="F146" s="21">
        <f>(7168312)/1000*$F$5</f>
        <v>7168.3119999999999</v>
      </c>
      <c r="G146" s="21">
        <f>F146-(803199)/1000*$F$5</f>
        <v>6365.1130000000003</v>
      </c>
      <c r="H146" s="58" t="s">
        <v>438</v>
      </c>
      <c r="I146" s="15"/>
      <c r="J146" s="1" t="s">
        <v>441</v>
      </c>
    </row>
    <row r="147" spans="1:10" ht="72" x14ac:dyDescent="0.2">
      <c r="A147" s="16" t="s">
        <v>455</v>
      </c>
      <c r="B147" s="92" t="s">
        <v>443</v>
      </c>
      <c r="C147" s="255"/>
      <c r="D147" s="19" t="s">
        <v>119</v>
      </c>
      <c r="E147" s="19" t="s">
        <v>295</v>
      </c>
      <c r="F147" s="21">
        <f>(14067218)/1000*$F$5</f>
        <v>14067.218000000001</v>
      </c>
      <c r="G147" s="21">
        <f>F147-(0)/1000*$F$5</f>
        <v>14067.218000000001</v>
      </c>
      <c r="H147" s="58" t="s">
        <v>446</v>
      </c>
      <c r="I147" s="15"/>
      <c r="J147" s="1" t="s">
        <v>442</v>
      </c>
    </row>
    <row r="148" spans="1:10" ht="72" x14ac:dyDescent="0.2">
      <c r="A148" s="17" t="s">
        <v>463</v>
      </c>
      <c r="B148" s="93" t="s">
        <v>444</v>
      </c>
      <c r="C148" s="255"/>
      <c r="D148" s="19" t="s">
        <v>8</v>
      </c>
      <c r="E148" s="19" t="s">
        <v>56</v>
      </c>
      <c r="F148" s="21">
        <f>(24083149)/1000*$F$5</f>
        <v>24083.149000000001</v>
      </c>
      <c r="G148" s="21">
        <f t="shared" ref="G148:G196" si="13">F148-(0)/1000*$F$5</f>
        <v>24083.149000000001</v>
      </c>
      <c r="H148" s="58" t="s">
        <v>445</v>
      </c>
      <c r="I148" s="15"/>
      <c r="J148" s="1" t="s">
        <v>440</v>
      </c>
    </row>
    <row r="149" spans="1:10" ht="60" x14ac:dyDescent="0.2">
      <c r="A149" s="112" t="s">
        <v>543</v>
      </c>
      <c r="B149" s="4" t="s">
        <v>676</v>
      </c>
      <c r="C149" s="256"/>
      <c r="D149" s="11" t="s">
        <v>177</v>
      </c>
      <c r="E149" s="11" t="s">
        <v>48</v>
      </c>
      <c r="F149" s="111">
        <f>(24894319)/1000*$F$5</f>
        <v>24894.319</v>
      </c>
      <c r="G149" s="111">
        <f>F149-(1597047)/1000*$F$5</f>
        <v>23297.272000000001</v>
      </c>
      <c r="H149" s="2" t="s">
        <v>449</v>
      </c>
      <c r="I149" s="3"/>
      <c r="J149" s="1" t="s">
        <v>448</v>
      </c>
    </row>
    <row r="150" spans="1:10" s="60" customFormat="1" ht="112.5" customHeight="1" x14ac:dyDescent="0.2">
      <c r="A150" s="75" t="s">
        <v>552</v>
      </c>
      <c r="B150" s="70" t="s">
        <v>676</v>
      </c>
      <c r="C150" s="140" t="s">
        <v>402</v>
      </c>
      <c r="D150" s="77" t="s">
        <v>124</v>
      </c>
      <c r="E150" s="77" t="s">
        <v>54</v>
      </c>
      <c r="F150" s="147">
        <f>(1490000)/1000*$F$5</f>
        <v>1490</v>
      </c>
      <c r="G150" s="147">
        <f t="shared" ref="G150:G170" si="14">F150-(0)/1000*$F$5</f>
        <v>1490</v>
      </c>
      <c r="H150" s="66" t="s">
        <v>556</v>
      </c>
      <c r="I150" s="78"/>
    </row>
    <row r="151" spans="1:10" s="60" customFormat="1" ht="120" customHeight="1" x14ac:dyDescent="0.2">
      <c r="A151" s="75" t="s">
        <v>678</v>
      </c>
      <c r="B151" s="70" t="s">
        <v>547</v>
      </c>
      <c r="C151" s="251" t="s">
        <v>766</v>
      </c>
      <c r="D151" s="261" t="s">
        <v>6</v>
      </c>
      <c r="E151" s="261" t="s">
        <v>7</v>
      </c>
      <c r="F151" s="263">
        <f>(444005270)/1000*$F$5</f>
        <v>444005.27</v>
      </c>
      <c r="G151" s="263">
        <f>F151-(1802298+116204+5445957+4438015+332211+8285705+1361841+6213406+130743)/1000*$F$5</f>
        <v>415878.89</v>
      </c>
      <c r="H151" s="66" t="s">
        <v>26</v>
      </c>
      <c r="I151" s="78"/>
      <c r="J151" s="60" t="s">
        <v>551</v>
      </c>
    </row>
    <row r="152" spans="1:10" s="60" customFormat="1" ht="114.75" customHeight="1" x14ac:dyDescent="0.2">
      <c r="A152" s="75" t="s">
        <v>679</v>
      </c>
      <c r="B152" s="70" t="s">
        <v>548</v>
      </c>
      <c r="C152" s="253"/>
      <c r="D152" s="262"/>
      <c r="E152" s="262"/>
      <c r="F152" s="264"/>
      <c r="G152" s="264"/>
      <c r="H152" s="66" t="s">
        <v>767</v>
      </c>
      <c r="I152" s="78"/>
    </row>
    <row r="153" spans="1:10" s="60" customFormat="1" ht="108" x14ac:dyDescent="0.2">
      <c r="A153" s="75" t="s">
        <v>680</v>
      </c>
      <c r="B153" s="70" t="s">
        <v>768</v>
      </c>
      <c r="C153" s="140" t="s">
        <v>769</v>
      </c>
      <c r="D153" s="145" t="s">
        <v>4</v>
      </c>
      <c r="E153" s="145" t="s">
        <v>24</v>
      </c>
      <c r="F153" s="147">
        <f>(37438795+4559067)/1000*$F$5</f>
        <v>41997.862000000001</v>
      </c>
      <c r="G153" s="147">
        <f t="shared" ref="G153:G154" si="15">F153-(0)/1000*$F$5</f>
        <v>41997.862000000001</v>
      </c>
      <c r="H153" s="66" t="s">
        <v>681</v>
      </c>
      <c r="I153" s="78"/>
      <c r="J153" s="60" t="s">
        <v>581</v>
      </c>
    </row>
    <row r="154" spans="1:10" s="60" customFormat="1" ht="102" customHeight="1" x14ac:dyDescent="0.2">
      <c r="A154" s="75" t="s">
        <v>682</v>
      </c>
      <c r="B154" s="70" t="s">
        <v>557</v>
      </c>
      <c r="C154" s="251" t="s">
        <v>770</v>
      </c>
      <c r="D154" s="77" t="s">
        <v>46</v>
      </c>
      <c r="E154" s="77" t="s">
        <v>52</v>
      </c>
      <c r="F154" s="147">
        <f>(12510963+537851)/1000*$F$5</f>
        <v>13048.814</v>
      </c>
      <c r="G154" s="147">
        <f t="shared" si="15"/>
        <v>13048.814</v>
      </c>
      <c r="H154" s="66" t="s">
        <v>558</v>
      </c>
      <c r="I154" s="78"/>
      <c r="J154" s="60" t="s">
        <v>562</v>
      </c>
    </row>
    <row r="155" spans="1:10" s="60" customFormat="1" ht="60" x14ac:dyDescent="0.2">
      <c r="A155" s="75" t="s">
        <v>683</v>
      </c>
      <c r="B155" s="70" t="s">
        <v>579</v>
      </c>
      <c r="C155" s="253"/>
      <c r="D155" s="77" t="s">
        <v>488</v>
      </c>
      <c r="E155" s="77" t="s">
        <v>7</v>
      </c>
      <c r="F155" s="147">
        <f>(2281959)/1000*$F$5</f>
        <v>2281.9589999999998</v>
      </c>
      <c r="G155" s="147">
        <f>F155-(0)/1000*$F$5</f>
        <v>2281.9589999999998</v>
      </c>
      <c r="H155" s="66" t="s">
        <v>578</v>
      </c>
      <c r="I155" s="78"/>
      <c r="J155" s="60" t="s">
        <v>580</v>
      </c>
    </row>
    <row r="156" spans="1:10" s="60" customFormat="1" ht="48" x14ac:dyDescent="0.2">
      <c r="A156" s="75" t="s">
        <v>684</v>
      </c>
      <c r="B156" s="70" t="s">
        <v>771</v>
      </c>
      <c r="C156" s="140" t="s">
        <v>632</v>
      </c>
      <c r="D156" s="77" t="s">
        <v>101</v>
      </c>
      <c r="E156" s="77" t="s">
        <v>103</v>
      </c>
      <c r="F156" s="147">
        <f>(7649009)/1000*$F$5</f>
        <v>7649.009</v>
      </c>
      <c r="G156" s="147">
        <f>F156-(0)/1000*$F$5</f>
        <v>7649.009</v>
      </c>
      <c r="H156" s="66" t="s">
        <v>633</v>
      </c>
      <c r="I156" s="78"/>
      <c r="J156" s="60" t="s">
        <v>634</v>
      </c>
    </row>
    <row r="157" spans="1:10" s="60" customFormat="1" ht="120" x14ac:dyDescent="0.2">
      <c r="A157" s="112" t="s">
        <v>685</v>
      </c>
      <c r="B157" s="4" t="s">
        <v>559</v>
      </c>
      <c r="C157" s="140" t="s">
        <v>772</v>
      </c>
      <c r="D157" s="77" t="s">
        <v>427</v>
      </c>
      <c r="E157" s="77" t="s">
        <v>7</v>
      </c>
      <c r="F157" s="147">
        <f>(3700000)/1000*$F$5</f>
        <v>3700</v>
      </c>
      <c r="G157" s="147">
        <f>F157-(1300000)/1000*$F$5</f>
        <v>2400</v>
      </c>
      <c r="H157" s="66" t="s">
        <v>570</v>
      </c>
      <c r="I157" s="78"/>
      <c r="J157" s="60" t="s">
        <v>566</v>
      </c>
    </row>
    <row r="158" spans="1:10" s="60" customFormat="1" ht="140.25" customHeight="1" x14ac:dyDescent="0.2">
      <c r="A158" s="75" t="s">
        <v>688</v>
      </c>
      <c r="B158" s="70" t="s">
        <v>559</v>
      </c>
      <c r="C158" s="140" t="s">
        <v>773</v>
      </c>
      <c r="D158" s="77" t="s">
        <v>54</v>
      </c>
      <c r="E158" s="77" t="s">
        <v>52</v>
      </c>
      <c r="F158" s="147">
        <f>(1555540)/1000*$F$5</f>
        <v>1555.54</v>
      </c>
      <c r="G158" s="147">
        <f t="shared" si="14"/>
        <v>1555.54</v>
      </c>
      <c r="H158" s="66" t="s">
        <v>560</v>
      </c>
      <c r="I158" s="78"/>
      <c r="J158" s="60" t="s">
        <v>561</v>
      </c>
    </row>
    <row r="159" spans="1:10" s="60" customFormat="1" ht="168" x14ac:dyDescent="0.2">
      <c r="A159" s="75" t="s">
        <v>689</v>
      </c>
      <c r="B159" s="70" t="s">
        <v>364</v>
      </c>
      <c r="C159" s="140" t="s">
        <v>687</v>
      </c>
      <c r="D159" s="77" t="s">
        <v>124</v>
      </c>
      <c r="E159" s="77" t="s">
        <v>7</v>
      </c>
      <c r="F159" s="147">
        <v>35340.406999999999</v>
      </c>
      <c r="G159" s="147">
        <v>35340.406999999999</v>
      </c>
      <c r="H159" s="66" t="s">
        <v>774</v>
      </c>
      <c r="I159" s="78"/>
      <c r="J159" s="60" t="s">
        <v>592</v>
      </c>
    </row>
    <row r="160" spans="1:10" s="60" customFormat="1" ht="228" x14ac:dyDescent="0.2">
      <c r="A160" s="75" t="s">
        <v>690</v>
      </c>
      <c r="B160" s="70" t="s">
        <v>642</v>
      </c>
      <c r="C160" s="140" t="s">
        <v>847</v>
      </c>
      <c r="D160" s="77" t="s">
        <v>107</v>
      </c>
      <c r="E160" s="77" t="s">
        <v>63</v>
      </c>
      <c r="F160" s="147">
        <f>(21476783)/1000*$F$5</f>
        <v>21476.782999999999</v>
      </c>
      <c r="G160" s="147">
        <f t="shared" ref="G160:G161" si="16">F160-(0)/1000*$F$5</f>
        <v>21476.782999999999</v>
      </c>
      <c r="H160" s="66" t="s">
        <v>643</v>
      </c>
      <c r="I160" s="78"/>
      <c r="J160" s="60" t="s">
        <v>644</v>
      </c>
    </row>
    <row r="161" spans="1:11" s="60" customFormat="1" ht="174" customHeight="1" x14ac:dyDescent="0.2">
      <c r="A161" s="75" t="s">
        <v>691</v>
      </c>
      <c r="B161" s="70" t="s">
        <v>645</v>
      </c>
      <c r="C161" s="140" t="s">
        <v>848</v>
      </c>
      <c r="D161" s="77" t="s">
        <v>16</v>
      </c>
      <c r="E161" s="77" t="s">
        <v>63</v>
      </c>
      <c r="F161" s="147">
        <f>(89000000)/1000*$F$5</f>
        <v>89000</v>
      </c>
      <c r="G161" s="147">
        <f t="shared" si="16"/>
        <v>89000</v>
      </c>
      <c r="H161" s="66" t="s">
        <v>646</v>
      </c>
      <c r="I161" s="78"/>
    </row>
    <row r="162" spans="1:11" s="60" customFormat="1" ht="108" x14ac:dyDescent="0.2">
      <c r="A162" s="75" t="s">
        <v>693</v>
      </c>
      <c r="B162" s="70" t="s">
        <v>582</v>
      </c>
      <c r="C162" s="140" t="s">
        <v>655</v>
      </c>
      <c r="D162" s="77" t="s">
        <v>14</v>
      </c>
      <c r="E162" s="77" t="s">
        <v>91</v>
      </c>
      <c r="F162" s="147">
        <f>(2201287+41913)/1000*$F$5</f>
        <v>2243.1999999999998</v>
      </c>
      <c r="G162" s="147">
        <f t="shared" si="14"/>
        <v>2243.1999999999998</v>
      </c>
      <c r="H162" s="66" t="s">
        <v>584</v>
      </c>
      <c r="I162" s="78"/>
      <c r="J162" s="60" t="s">
        <v>583</v>
      </c>
    </row>
    <row r="163" spans="1:11" s="60" customFormat="1" ht="88.5" customHeight="1" x14ac:dyDescent="0.2">
      <c r="A163" s="75" t="s">
        <v>694</v>
      </c>
      <c r="B163" s="70" t="s">
        <v>590</v>
      </c>
      <c r="C163" s="251" t="s">
        <v>849</v>
      </c>
      <c r="D163" s="77" t="s">
        <v>35</v>
      </c>
      <c r="E163" s="77" t="s">
        <v>230</v>
      </c>
      <c r="F163" s="147">
        <f>(3829000-217990)/1000*$F$5</f>
        <v>3611.01</v>
      </c>
      <c r="G163" s="147">
        <f>F163-(262712)/1000*$F$5</f>
        <v>3348.2980000000002</v>
      </c>
      <c r="H163" s="66" t="s">
        <v>776</v>
      </c>
      <c r="I163" s="78"/>
      <c r="J163" s="60" t="s">
        <v>588</v>
      </c>
    </row>
    <row r="164" spans="1:11" s="60" customFormat="1" ht="82.5" customHeight="1" x14ac:dyDescent="0.2">
      <c r="A164" s="75" t="s">
        <v>695</v>
      </c>
      <c r="B164" s="70" t="s">
        <v>777</v>
      </c>
      <c r="C164" s="253"/>
      <c r="D164" s="77" t="s">
        <v>7</v>
      </c>
      <c r="E164" s="113" t="s">
        <v>91</v>
      </c>
      <c r="F164" s="114">
        <f>(4794400)/1000*$F$5</f>
        <v>4794.3999999999996</v>
      </c>
      <c r="G164" s="114">
        <f t="shared" si="14"/>
        <v>4794.3999999999996</v>
      </c>
      <c r="H164" s="66" t="s">
        <v>591</v>
      </c>
      <c r="I164" s="78"/>
      <c r="J164" s="60" t="s">
        <v>589</v>
      </c>
    </row>
    <row r="165" spans="1:11" s="60" customFormat="1" ht="67.5" customHeight="1" x14ac:dyDescent="0.2">
      <c r="A165" s="75" t="s">
        <v>696</v>
      </c>
      <c r="B165" s="94" t="s">
        <v>778</v>
      </c>
      <c r="C165" s="254" t="s">
        <v>593</v>
      </c>
      <c r="D165" s="11" t="s">
        <v>91</v>
      </c>
      <c r="E165" s="11" t="s">
        <v>11</v>
      </c>
      <c r="F165" s="147">
        <f>(643438996)/1000*$F$5</f>
        <v>643438.99600000004</v>
      </c>
      <c r="G165" s="147">
        <f>F165-(323242749+25894212+30130843+582706+506567+6431012+9466678+2847445+3299873+1773039+730584+2798678+4434391+900000+2970163)/1000*$F$5</f>
        <v>227430.05600000004</v>
      </c>
      <c r="H165" s="2" t="s">
        <v>595</v>
      </c>
      <c r="I165" s="3"/>
      <c r="J165" s="60" t="s">
        <v>596</v>
      </c>
    </row>
    <row r="166" spans="1:11" s="60" customFormat="1" ht="93" customHeight="1" x14ac:dyDescent="0.2">
      <c r="A166" s="75" t="s">
        <v>697</v>
      </c>
      <c r="B166" s="94" t="s">
        <v>594</v>
      </c>
      <c r="C166" s="255"/>
      <c r="D166" s="11" t="s">
        <v>211</v>
      </c>
      <c r="E166" s="11" t="s">
        <v>11</v>
      </c>
      <c r="F166" s="147">
        <f>(85900080)/1000*$F$5</f>
        <v>85900.08</v>
      </c>
      <c r="G166" s="147">
        <f>F166-(2220688+614603+606803)/1000*$F$5</f>
        <v>82457.986000000004</v>
      </c>
      <c r="H166" s="2" t="s">
        <v>779</v>
      </c>
      <c r="I166" s="3"/>
      <c r="J166" s="60" t="s">
        <v>597</v>
      </c>
    </row>
    <row r="167" spans="1:11" s="60" customFormat="1" ht="168" x14ac:dyDescent="0.2">
      <c r="A167" s="75" t="s">
        <v>698</v>
      </c>
      <c r="B167" s="94" t="s">
        <v>780</v>
      </c>
      <c r="C167" s="256"/>
      <c r="D167" s="11" t="s">
        <v>11</v>
      </c>
      <c r="E167" s="11" t="s">
        <v>598</v>
      </c>
      <c r="F167" s="147">
        <f>(142758713)/1000*$F$5</f>
        <v>142758.71299999999</v>
      </c>
      <c r="G167" s="147">
        <f>F167-(3974529+2178400+550000+3601754+7356265+501298)/1000*$F$5</f>
        <v>124596.46699999999</v>
      </c>
      <c r="H167" s="148" t="s">
        <v>781</v>
      </c>
      <c r="I167" s="3"/>
    </row>
    <row r="168" spans="1:11" s="60" customFormat="1" ht="69" customHeight="1" x14ac:dyDescent="0.2">
      <c r="A168" s="75" t="s">
        <v>700</v>
      </c>
      <c r="B168" s="70" t="s">
        <v>702</v>
      </c>
      <c r="C168" s="140" t="s">
        <v>701</v>
      </c>
      <c r="D168" s="77" t="s">
        <v>569</v>
      </c>
      <c r="E168" s="77" t="s">
        <v>91</v>
      </c>
      <c r="F168" s="147">
        <f>(18977634)/1000*$F$5</f>
        <v>18977.633999999998</v>
      </c>
      <c r="G168" s="147">
        <f>F168-(9713106)/1000*$F$5</f>
        <v>9264.5279999999984</v>
      </c>
      <c r="H168" s="140" t="s">
        <v>567</v>
      </c>
      <c r="I168" s="78"/>
      <c r="J168" s="60" t="s">
        <v>568</v>
      </c>
    </row>
    <row r="169" spans="1:11" s="60" customFormat="1" ht="72" x14ac:dyDescent="0.2">
      <c r="A169" s="75" t="s">
        <v>704</v>
      </c>
      <c r="B169" s="70" t="s">
        <v>782</v>
      </c>
      <c r="C169" s="140" t="s">
        <v>850</v>
      </c>
      <c r="D169" s="77" t="s">
        <v>95</v>
      </c>
      <c r="E169" s="77" t="s">
        <v>104</v>
      </c>
      <c r="F169" s="147">
        <f>(10466390)/1000*$F$5</f>
        <v>10466.39</v>
      </c>
      <c r="G169" s="147">
        <f t="shared" si="14"/>
        <v>10466.39</v>
      </c>
      <c r="H169" s="66" t="s">
        <v>615</v>
      </c>
      <c r="I169" s="78"/>
      <c r="J169" s="60" t="s">
        <v>614</v>
      </c>
    </row>
    <row r="170" spans="1:11" s="60" customFormat="1" ht="96" x14ac:dyDescent="0.2">
      <c r="A170" s="112" t="s">
        <v>705</v>
      </c>
      <c r="B170" s="4" t="s">
        <v>783</v>
      </c>
      <c r="C170" s="131" t="s">
        <v>629</v>
      </c>
      <c r="D170" s="77" t="s">
        <v>95</v>
      </c>
      <c r="E170" s="77" t="s">
        <v>21</v>
      </c>
      <c r="F170" s="111">
        <f>(19971733.7)/1000*$F$5</f>
        <v>19971.733700000001</v>
      </c>
      <c r="G170" s="111">
        <f t="shared" si="14"/>
        <v>19971.733700000001</v>
      </c>
      <c r="H170" s="66" t="s">
        <v>631</v>
      </c>
      <c r="I170" s="78"/>
      <c r="J170" s="68" t="s">
        <v>630</v>
      </c>
      <c r="K170" s="60">
        <v>19971733.699999999</v>
      </c>
    </row>
    <row r="171" spans="1:11" s="60" customFormat="1" ht="60" customHeight="1" x14ac:dyDescent="0.2">
      <c r="A171" s="16" t="s">
        <v>706</v>
      </c>
      <c r="B171" s="70" t="s">
        <v>784</v>
      </c>
      <c r="C171" s="251" t="s">
        <v>571</v>
      </c>
      <c r="D171" s="19"/>
      <c r="E171" s="19"/>
      <c r="F171" s="21"/>
      <c r="G171" s="21"/>
      <c r="H171" s="58"/>
      <c r="I171" s="15"/>
    </row>
    <row r="172" spans="1:11" s="60" customFormat="1" ht="38.25" customHeight="1" x14ac:dyDescent="0.2">
      <c r="A172" s="16" t="s">
        <v>707</v>
      </c>
      <c r="B172" s="92" t="s">
        <v>785</v>
      </c>
      <c r="C172" s="252"/>
      <c r="D172" s="19" t="s">
        <v>49</v>
      </c>
      <c r="E172" s="19" t="s">
        <v>7</v>
      </c>
      <c r="F172" s="21">
        <f>(7958431)/1000*$F$5</f>
        <v>7958.4309999999996</v>
      </c>
      <c r="G172" s="21">
        <f t="shared" ref="G172:G176" si="17">F172-(0)/1000*$F$5</f>
        <v>7958.4309999999996</v>
      </c>
      <c r="H172" s="58" t="s">
        <v>572</v>
      </c>
      <c r="I172" s="15"/>
      <c r="J172" s="60" t="s">
        <v>573</v>
      </c>
    </row>
    <row r="173" spans="1:11" s="60" customFormat="1" ht="340.5" customHeight="1" x14ac:dyDescent="0.2">
      <c r="A173" s="16" t="s">
        <v>708</v>
      </c>
      <c r="B173" s="92" t="s">
        <v>574</v>
      </c>
      <c r="C173" s="252"/>
      <c r="D173" s="19" t="s">
        <v>52</v>
      </c>
      <c r="E173" s="19" t="s">
        <v>63</v>
      </c>
      <c r="F173" s="21">
        <f>(201397276)/1000*$F$5</f>
        <v>201397.27600000001</v>
      </c>
      <c r="G173" s="21">
        <f>F173-(2563200+6523166+2974576+382255)/1000*$F$5</f>
        <v>188954.07900000003</v>
      </c>
      <c r="H173" s="58" t="s">
        <v>851</v>
      </c>
      <c r="I173" s="15"/>
      <c r="J173" s="60" t="s">
        <v>575</v>
      </c>
    </row>
    <row r="174" spans="1:11" s="60" customFormat="1" ht="156.75" customHeight="1" x14ac:dyDescent="0.2">
      <c r="A174" s="16" t="s">
        <v>709</v>
      </c>
      <c r="B174" s="92" t="s">
        <v>576</v>
      </c>
      <c r="C174" s="252"/>
      <c r="D174" s="19" t="s">
        <v>488</v>
      </c>
      <c r="E174" s="19" t="s">
        <v>19</v>
      </c>
      <c r="F174" s="21">
        <f>(17518524)/1000*$F$5</f>
        <v>17518.524000000001</v>
      </c>
      <c r="G174" s="21">
        <f t="shared" si="17"/>
        <v>17518.524000000001</v>
      </c>
      <c r="H174" s="58" t="s">
        <v>786</v>
      </c>
      <c r="I174" s="15"/>
      <c r="J174" s="60" t="s">
        <v>577</v>
      </c>
    </row>
    <row r="175" spans="1:11" s="60" customFormat="1" ht="42" customHeight="1" x14ac:dyDescent="0.2">
      <c r="A175" s="16" t="s">
        <v>710</v>
      </c>
      <c r="B175" s="92" t="s">
        <v>599</v>
      </c>
      <c r="C175" s="252"/>
      <c r="D175" s="19" t="s">
        <v>7</v>
      </c>
      <c r="E175" s="19" t="s">
        <v>11</v>
      </c>
      <c r="F175" s="21">
        <f>(43708282)/1000*$F$5</f>
        <v>43708.281999999999</v>
      </c>
      <c r="G175" s="21">
        <f t="shared" si="17"/>
        <v>43708.281999999999</v>
      </c>
      <c r="H175" s="58" t="s">
        <v>716</v>
      </c>
      <c r="I175" s="15"/>
      <c r="J175" s="60" t="s">
        <v>603</v>
      </c>
      <c r="K175" s="60">
        <v>43708282</v>
      </c>
    </row>
    <row r="176" spans="1:11" s="60" customFormat="1" ht="81.75" customHeight="1" x14ac:dyDescent="0.2">
      <c r="A176" s="16" t="s">
        <v>711</v>
      </c>
      <c r="B176" s="92" t="s">
        <v>600</v>
      </c>
      <c r="C176" s="252"/>
      <c r="D176" s="19" t="s">
        <v>86</v>
      </c>
      <c r="E176" s="19" t="s">
        <v>511</v>
      </c>
      <c r="F176" s="21">
        <f>(6500000)/1000*$F$5</f>
        <v>6500</v>
      </c>
      <c r="G176" s="21">
        <f t="shared" si="17"/>
        <v>6500</v>
      </c>
      <c r="H176" s="58" t="s">
        <v>601</v>
      </c>
      <c r="I176" s="15"/>
      <c r="J176" s="60" t="s">
        <v>602</v>
      </c>
    </row>
    <row r="177" spans="1:10" s="60" customFormat="1" ht="48" x14ac:dyDescent="0.2">
      <c r="A177" s="16" t="s">
        <v>712</v>
      </c>
      <c r="B177" s="92" t="s">
        <v>604</v>
      </c>
      <c r="C177" s="252"/>
      <c r="D177" s="19" t="s">
        <v>137</v>
      </c>
      <c r="E177" s="19" t="s">
        <v>15</v>
      </c>
      <c r="F177" s="21">
        <f>(35378118)/1000*$F$5</f>
        <v>35378.118000000002</v>
      </c>
      <c r="G177" s="21">
        <f>F177-(3938389+901930+3555281+3476986+654073)/1000*$F$5</f>
        <v>22851.459000000003</v>
      </c>
      <c r="H177" s="58" t="s">
        <v>717</v>
      </c>
      <c r="I177" s="15"/>
      <c r="J177" s="60" t="s">
        <v>605</v>
      </c>
    </row>
    <row r="178" spans="1:10" s="60" customFormat="1" ht="36" x14ac:dyDescent="0.2">
      <c r="A178" s="16" t="s">
        <v>713</v>
      </c>
      <c r="B178" s="92" t="s">
        <v>607</v>
      </c>
      <c r="C178" s="252"/>
      <c r="D178" s="19" t="s">
        <v>137</v>
      </c>
      <c r="E178" s="19" t="s">
        <v>606</v>
      </c>
      <c r="F178" s="21">
        <f>(33543354)/1000*$F$5</f>
        <v>33543.353999999999</v>
      </c>
      <c r="G178" s="21">
        <f>F178-(4632327+4377223+2736212)/1000*$F$5</f>
        <v>21797.591999999997</v>
      </c>
      <c r="H178" s="58" t="s">
        <v>718</v>
      </c>
      <c r="I178" s="15"/>
      <c r="J178" s="60" t="s">
        <v>608</v>
      </c>
    </row>
    <row r="179" spans="1:10" s="60" customFormat="1" ht="96" x14ac:dyDescent="0.2">
      <c r="A179" s="16" t="s">
        <v>714</v>
      </c>
      <c r="B179" s="92" t="s">
        <v>607</v>
      </c>
      <c r="C179" s="252"/>
      <c r="D179" s="19" t="s">
        <v>137</v>
      </c>
      <c r="E179" s="19" t="s">
        <v>610</v>
      </c>
      <c r="F179" s="21">
        <f>(20995727)/1000*$F$5</f>
        <v>20995.726999999999</v>
      </c>
      <c r="G179" s="21">
        <f>F179-(11424321)/1000*$F$5</f>
        <v>9571.405999999999</v>
      </c>
      <c r="H179" s="58" t="s">
        <v>719</v>
      </c>
      <c r="I179" s="15"/>
      <c r="J179" s="60" t="s">
        <v>609</v>
      </c>
    </row>
    <row r="180" spans="1:10" s="60" customFormat="1" ht="56.25" customHeight="1" x14ac:dyDescent="0.2">
      <c r="A180" s="75" t="s">
        <v>715</v>
      </c>
      <c r="B180" s="92" t="s">
        <v>611</v>
      </c>
      <c r="C180" s="253"/>
      <c r="D180" s="19" t="s">
        <v>95</v>
      </c>
      <c r="E180" s="19" t="s">
        <v>613</v>
      </c>
      <c r="F180" s="21">
        <f>(5000000)/1000*$F$5</f>
        <v>5000</v>
      </c>
      <c r="G180" s="21">
        <f>F180-(1932000)/1000*$F$5</f>
        <v>3068</v>
      </c>
      <c r="H180" s="58" t="s">
        <v>720</v>
      </c>
      <c r="I180" s="15"/>
      <c r="J180" s="60" t="s">
        <v>612</v>
      </c>
    </row>
    <row r="181" spans="1:10" ht="36.75" customHeight="1" x14ac:dyDescent="0.2">
      <c r="A181" s="16" t="s">
        <v>721</v>
      </c>
      <c r="B181" s="70" t="s">
        <v>787</v>
      </c>
      <c r="C181" s="254" t="s">
        <v>789</v>
      </c>
      <c r="D181" s="18"/>
      <c r="E181" s="18"/>
      <c r="F181" s="146">
        <f t="shared" si="12"/>
        <v>0</v>
      </c>
      <c r="G181" s="146">
        <f t="shared" si="13"/>
        <v>0</v>
      </c>
      <c r="H181" s="141"/>
      <c r="I181" s="35"/>
    </row>
    <row r="182" spans="1:10" ht="36" x14ac:dyDescent="0.2">
      <c r="A182" s="16" t="s">
        <v>722</v>
      </c>
      <c r="B182" s="92" t="s">
        <v>788</v>
      </c>
      <c r="C182" s="255"/>
      <c r="D182" s="19" t="s">
        <v>176</v>
      </c>
      <c r="E182" s="19" t="s">
        <v>48</v>
      </c>
      <c r="F182" s="21">
        <f>(6900000+4477636)/1000*$F$5</f>
        <v>11377.636</v>
      </c>
      <c r="G182" s="21">
        <f t="shared" si="13"/>
        <v>11377.636</v>
      </c>
      <c r="H182" s="142" t="s">
        <v>451</v>
      </c>
      <c r="I182" s="34"/>
      <c r="J182" s="62" t="s">
        <v>452</v>
      </c>
    </row>
    <row r="183" spans="1:10" ht="108" x14ac:dyDescent="0.2">
      <c r="A183" s="16" t="s">
        <v>723</v>
      </c>
      <c r="B183" s="92" t="s">
        <v>453</v>
      </c>
      <c r="C183" s="255"/>
      <c r="D183" s="19" t="s">
        <v>176</v>
      </c>
      <c r="E183" s="19" t="s">
        <v>181</v>
      </c>
      <c r="F183" s="21">
        <f>(11864407)/1000*$F$5</f>
        <v>11864.406999999999</v>
      </c>
      <c r="G183" s="21">
        <f t="shared" si="13"/>
        <v>11864.406999999999</v>
      </c>
      <c r="H183" s="142" t="s">
        <v>538</v>
      </c>
      <c r="I183" s="34"/>
      <c r="J183" s="1" t="s">
        <v>456</v>
      </c>
    </row>
    <row r="184" spans="1:10" ht="36" x14ac:dyDescent="0.2">
      <c r="A184" s="16" t="s">
        <v>724</v>
      </c>
      <c r="B184" s="92" t="s">
        <v>457</v>
      </c>
      <c r="C184" s="255"/>
      <c r="D184" s="19" t="s">
        <v>295</v>
      </c>
      <c r="E184" s="24" t="s">
        <v>48</v>
      </c>
      <c r="F184" s="21">
        <f>(2633979.11)/1000*$F$5</f>
        <v>2633.9791099999998</v>
      </c>
      <c r="G184" s="21">
        <f t="shared" si="13"/>
        <v>2633.9791099999998</v>
      </c>
      <c r="H184" s="142" t="s">
        <v>466</v>
      </c>
      <c r="I184" s="34"/>
      <c r="J184" s="1" t="s">
        <v>460</v>
      </c>
    </row>
    <row r="185" spans="1:10" ht="36" x14ac:dyDescent="0.2">
      <c r="A185" s="16" t="s">
        <v>725</v>
      </c>
      <c r="B185" s="92" t="s">
        <v>458</v>
      </c>
      <c r="C185" s="255"/>
      <c r="D185" s="19" t="s">
        <v>410</v>
      </c>
      <c r="E185" s="24" t="s">
        <v>13</v>
      </c>
      <c r="F185" s="21">
        <f>(2058211.12)/1000*$F$5</f>
        <v>2058.2111199999999</v>
      </c>
      <c r="G185" s="21">
        <f t="shared" si="13"/>
        <v>2058.2111199999999</v>
      </c>
      <c r="H185" s="142" t="s">
        <v>539</v>
      </c>
      <c r="I185" s="34"/>
      <c r="J185" s="1" t="s">
        <v>459</v>
      </c>
    </row>
    <row r="186" spans="1:10" ht="48" x14ac:dyDescent="0.2">
      <c r="A186" s="16" t="s">
        <v>726</v>
      </c>
      <c r="B186" s="92" t="s">
        <v>461</v>
      </c>
      <c r="C186" s="255"/>
      <c r="D186" s="19" t="s">
        <v>126</v>
      </c>
      <c r="E186" s="24" t="s">
        <v>410</v>
      </c>
      <c r="F186" s="21">
        <f>(2038983)/1000*$F$5</f>
        <v>2038.9829999999999</v>
      </c>
      <c r="G186" s="21">
        <f t="shared" si="13"/>
        <v>2038.9829999999999</v>
      </c>
      <c r="H186" s="142" t="s">
        <v>462</v>
      </c>
      <c r="I186" s="34"/>
      <c r="J186" s="1" t="s">
        <v>465</v>
      </c>
    </row>
    <row r="187" spans="1:10" ht="36" x14ac:dyDescent="0.2">
      <c r="A187" s="16" t="s">
        <v>727</v>
      </c>
      <c r="B187" s="92" t="s">
        <v>464</v>
      </c>
      <c r="C187" s="255"/>
      <c r="D187" s="19" t="s">
        <v>8</v>
      </c>
      <c r="E187" s="24" t="s">
        <v>14</v>
      </c>
      <c r="F187" s="21">
        <f>(130768063)/1000*$F$5</f>
        <v>130768.06299999999</v>
      </c>
      <c r="G187" s="21">
        <f>F187-(25018370+1469829+12347573)/1000*$F$5</f>
        <v>91932.290999999997</v>
      </c>
      <c r="H187" s="142" t="s">
        <v>467</v>
      </c>
      <c r="I187" s="34"/>
      <c r="J187" s="1" t="s">
        <v>468</v>
      </c>
    </row>
    <row r="188" spans="1:10" ht="84" x14ac:dyDescent="0.2">
      <c r="A188" s="16" t="s">
        <v>728</v>
      </c>
      <c r="B188" s="92" t="s">
        <v>469</v>
      </c>
      <c r="C188" s="255"/>
      <c r="D188" s="19" t="s">
        <v>179</v>
      </c>
      <c r="E188" s="19" t="s">
        <v>7</v>
      </c>
      <c r="F188" s="21">
        <f>(5544496)/1000*$F$5</f>
        <v>5544.4960000000001</v>
      </c>
      <c r="G188" s="21">
        <f t="shared" si="13"/>
        <v>5544.4960000000001</v>
      </c>
      <c r="H188" s="142" t="s">
        <v>470</v>
      </c>
      <c r="I188" s="34"/>
      <c r="J188" s="1" t="s">
        <v>471</v>
      </c>
    </row>
    <row r="189" spans="1:10" ht="48" x14ac:dyDescent="0.2">
      <c r="A189" s="16" t="s">
        <v>729</v>
      </c>
      <c r="B189" s="92" t="s">
        <v>472</v>
      </c>
      <c r="C189" s="255"/>
      <c r="D189" s="19" t="s">
        <v>78</v>
      </c>
      <c r="E189" s="19" t="s">
        <v>78</v>
      </c>
      <c r="F189" s="21">
        <f>(829818)/1000*$F$5</f>
        <v>829.81799999999998</v>
      </c>
      <c r="G189" s="21">
        <f t="shared" si="13"/>
        <v>829.81799999999998</v>
      </c>
      <c r="H189" s="142" t="s">
        <v>475</v>
      </c>
      <c r="I189" s="34"/>
      <c r="J189" s="1" t="s">
        <v>473</v>
      </c>
    </row>
    <row r="190" spans="1:10" ht="60" x14ac:dyDescent="0.2">
      <c r="A190" s="16" t="s">
        <v>730</v>
      </c>
      <c r="B190" s="92" t="s">
        <v>474</v>
      </c>
      <c r="C190" s="255"/>
      <c r="D190" s="19" t="s">
        <v>124</v>
      </c>
      <c r="E190" s="19" t="s">
        <v>14</v>
      </c>
      <c r="F190" s="21">
        <f>(100377169)/1000*$F$5</f>
        <v>100377.16899999999</v>
      </c>
      <c r="G190" s="21">
        <f>F190-(25100604.84)/1000*$F$5</f>
        <v>75276.564159999994</v>
      </c>
      <c r="H190" s="142" t="s">
        <v>476</v>
      </c>
      <c r="I190" s="34"/>
      <c r="J190" s="1" t="s">
        <v>477</v>
      </c>
    </row>
    <row r="191" spans="1:10" ht="60" x14ac:dyDescent="0.2">
      <c r="A191" s="16" t="s">
        <v>731</v>
      </c>
      <c r="B191" s="92" t="s">
        <v>478</v>
      </c>
      <c r="C191" s="255"/>
      <c r="D191" s="19" t="s">
        <v>4</v>
      </c>
      <c r="E191" s="19" t="s">
        <v>24</v>
      </c>
      <c r="F191" s="21">
        <f>(22587631)/1000*$F$5</f>
        <v>22587.631000000001</v>
      </c>
      <c r="G191" s="21">
        <f t="shared" si="13"/>
        <v>22587.631000000001</v>
      </c>
      <c r="H191" s="58" t="s">
        <v>479</v>
      </c>
      <c r="I191" s="59"/>
      <c r="J191" s="1" t="s">
        <v>480</v>
      </c>
    </row>
    <row r="192" spans="1:10" ht="23.25" customHeight="1" x14ac:dyDescent="0.2">
      <c r="A192" s="16" t="s">
        <v>732</v>
      </c>
      <c r="B192" s="48" t="s">
        <v>481</v>
      </c>
      <c r="C192" s="255"/>
      <c r="D192" s="19" t="s">
        <v>427</v>
      </c>
      <c r="E192" s="19" t="s">
        <v>84</v>
      </c>
      <c r="F192" s="21">
        <f>(24378308.18)/1000*$F$5</f>
        <v>24378.30818</v>
      </c>
      <c r="G192" s="21">
        <f>F192-(3669923.61)/1000*$F$5</f>
        <v>20708.384570000002</v>
      </c>
      <c r="H192" s="142" t="s">
        <v>482</v>
      </c>
      <c r="I192" s="34"/>
      <c r="J192" s="1" t="s">
        <v>483</v>
      </c>
    </row>
    <row r="193" spans="1:10" ht="48" x14ac:dyDescent="0.2">
      <c r="A193" s="16" t="s">
        <v>733</v>
      </c>
      <c r="B193" s="92" t="s">
        <v>485</v>
      </c>
      <c r="C193" s="255"/>
      <c r="D193" s="19" t="s">
        <v>427</v>
      </c>
      <c r="E193" s="24" t="s">
        <v>230</v>
      </c>
      <c r="F193" s="21">
        <f>(18119912)/1000*$F$5</f>
        <v>18119.912</v>
      </c>
      <c r="G193" s="21">
        <f t="shared" si="13"/>
        <v>18119.912</v>
      </c>
      <c r="H193" s="142" t="s">
        <v>487</v>
      </c>
      <c r="I193" s="34"/>
      <c r="J193" s="1" t="s">
        <v>486</v>
      </c>
    </row>
    <row r="194" spans="1:10" ht="60" x14ac:dyDescent="0.2">
      <c r="A194" s="16" t="s">
        <v>734</v>
      </c>
      <c r="B194" s="92" t="s">
        <v>484</v>
      </c>
      <c r="C194" s="255"/>
      <c r="D194" s="19" t="s">
        <v>427</v>
      </c>
      <c r="E194" s="19" t="s">
        <v>488</v>
      </c>
      <c r="F194" s="21">
        <f>(50693441.39)/1000*$F$5</f>
        <v>50693.44139</v>
      </c>
      <c r="G194" s="21">
        <f>F194-(7118161)/1000*$F$5</f>
        <v>43575.28039</v>
      </c>
      <c r="H194" s="142" t="s">
        <v>489</v>
      </c>
      <c r="I194" s="34"/>
      <c r="J194" s="1" t="s">
        <v>490</v>
      </c>
    </row>
    <row r="195" spans="1:10" ht="36" x14ac:dyDescent="0.2">
      <c r="A195" s="16" t="s">
        <v>735</v>
      </c>
      <c r="B195" s="92" t="s">
        <v>491</v>
      </c>
      <c r="C195" s="255"/>
      <c r="D195" s="19" t="s">
        <v>230</v>
      </c>
      <c r="E195" s="24" t="s">
        <v>7</v>
      </c>
      <c r="F195" s="21">
        <f>(1289255)/1000*$F$5</f>
        <v>1289.2550000000001</v>
      </c>
      <c r="G195" s="21">
        <f t="shared" si="13"/>
        <v>1289.2550000000001</v>
      </c>
      <c r="H195" s="142" t="s">
        <v>492</v>
      </c>
      <c r="I195" s="34"/>
      <c r="J195" s="1" t="s">
        <v>493</v>
      </c>
    </row>
    <row r="196" spans="1:10" ht="24" x14ac:dyDescent="0.2">
      <c r="A196" s="16" t="s">
        <v>736</v>
      </c>
      <c r="B196" s="92" t="s">
        <v>495</v>
      </c>
      <c r="C196" s="255"/>
      <c r="D196" s="19" t="s">
        <v>230</v>
      </c>
      <c r="E196" s="24" t="s">
        <v>7</v>
      </c>
      <c r="F196" s="21">
        <f>(998697)/1000*$F$5</f>
        <v>998.697</v>
      </c>
      <c r="G196" s="21">
        <f t="shared" si="13"/>
        <v>998.697</v>
      </c>
      <c r="H196" s="142" t="s">
        <v>540</v>
      </c>
      <c r="I196" s="34"/>
      <c r="J196" s="1" t="s">
        <v>494</v>
      </c>
    </row>
    <row r="197" spans="1:10" ht="72" x14ac:dyDescent="0.2">
      <c r="A197" s="16" t="s">
        <v>737</v>
      </c>
      <c r="B197" s="92" t="s">
        <v>497</v>
      </c>
      <c r="C197" s="255"/>
      <c r="D197" s="19" t="s">
        <v>499</v>
      </c>
      <c r="E197" s="24" t="s">
        <v>500</v>
      </c>
      <c r="F197" s="21">
        <f>(4308132)/1000*$F$5</f>
        <v>4308.1319999999996</v>
      </c>
      <c r="G197" s="21">
        <f>F197-(1306408)/1000*$F$5</f>
        <v>3001.7239999999997</v>
      </c>
      <c r="H197" s="142" t="s">
        <v>498</v>
      </c>
      <c r="I197" s="34"/>
      <c r="J197" s="1" t="s">
        <v>496</v>
      </c>
    </row>
    <row r="198" spans="1:10" ht="36" x14ac:dyDescent="0.2">
      <c r="A198" s="16" t="s">
        <v>738</v>
      </c>
      <c r="B198" s="92" t="s">
        <v>501</v>
      </c>
      <c r="C198" s="255"/>
      <c r="D198" s="19" t="s">
        <v>132</v>
      </c>
      <c r="E198" s="24" t="s">
        <v>9</v>
      </c>
      <c r="F198" s="21">
        <f>(12401096)/1000*$F$5</f>
        <v>12401.096</v>
      </c>
      <c r="G198" s="21">
        <f t="shared" ref="G198:G221" si="18">F198-(0)/1000*$F$5</f>
        <v>12401.096</v>
      </c>
      <c r="H198" s="142" t="s">
        <v>502</v>
      </c>
      <c r="I198" s="34"/>
      <c r="J198" s="1" t="s">
        <v>503</v>
      </c>
    </row>
    <row r="199" spans="1:10" ht="48" x14ac:dyDescent="0.2">
      <c r="A199" s="16" t="s">
        <v>739</v>
      </c>
      <c r="B199" s="92" t="s">
        <v>509</v>
      </c>
      <c r="C199" s="255"/>
      <c r="D199" s="19" t="s">
        <v>7</v>
      </c>
      <c r="E199" s="19" t="s">
        <v>93</v>
      </c>
      <c r="F199" s="21">
        <f>(1022700)/1000*$F$5</f>
        <v>1022.7</v>
      </c>
      <c r="G199" s="21">
        <f t="shared" si="18"/>
        <v>1022.7</v>
      </c>
      <c r="H199" s="142" t="s">
        <v>505</v>
      </c>
      <c r="I199" s="34"/>
      <c r="J199" s="1" t="s">
        <v>504</v>
      </c>
    </row>
    <row r="200" spans="1:10" ht="48" x14ac:dyDescent="0.2">
      <c r="A200" s="16" t="s">
        <v>740</v>
      </c>
      <c r="B200" s="92" t="s">
        <v>509</v>
      </c>
      <c r="C200" s="255"/>
      <c r="D200" s="19" t="s">
        <v>508</v>
      </c>
      <c r="E200" s="19" t="s">
        <v>86</v>
      </c>
      <c r="F200" s="21">
        <f>(8552344)/1000*$F$5</f>
        <v>8552.3439999999991</v>
      </c>
      <c r="G200" s="21">
        <f t="shared" si="18"/>
        <v>8552.3439999999991</v>
      </c>
      <c r="H200" s="142" t="s">
        <v>507</v>
      </c>
      <c r="I200" s="34"/>
      <c r="J200" s="1" t="s">
        <v>506</v>
      </c>
    </row>
    <row r="201" spans="1:10" ht="48" x14ac:dyDescent="0.2">
      <c r="A201" s="16" t="s">
        <v>741</v>
      </c>
      <c r="B201" s="92" t="s">
        <v>541</v>
      </c>
      <c r="C201" s="255"/>
      <c r="D201" s="19" t="s">
        <v>86</v>
      </c>
      <c r="E201" s="19" t="s">
        <v>511</v>
      </c>
      <c r="F201" s="21">
        <f>(1554362)/1000*$F$5</f>
        <v>1554.3620000000001</v>
      </c>
      <c r="G201" s="21">
        <f t="shared" si="18"/>
        <v>1554.3620000000001</v>
      </c>
      <c r="H201" s="142" t="s">
        <v>512</v>
      </c>
      <c r="I201" s="34"/>
      <c r="J201" s="1" t="s">
        <v>510</v>
      </c>
    </row>
    <row r="202" spans="1:10" ht="48" x14ac:dyDescent="0.2">
      <c r="A202" s="16" t="s">
        <v>742</v>
      </c>
      <c r="B202" s="92" t="s">
        <v>514</v>
      </c>
      <c r="C202" s="255"/>
      <c r="D202" s="19" t="s">
        <v>511</v>
      </c>
      <c r="E202" s="19" t="s">
        <v>95</v>
      </c>
      <c r="F202" s="21">
        <f>(5110000)/1000*$F$5</f>
        <v>5110</v>
      </c>
      <c r="G202" s="21">
        <f t="shared" si="18"/>
        <v>5110</v>
      </c>
      <c r="H202" s="58" t="s">
        <v>515</v>
      </c>
      <c r="I202" s="59"/>
      <c r="J202" s="1" t="s">
        <v>513</v>
      </c>
    </row>
    <row r="203" spans="1:10" ht="36" x14ac:dyDescent="0.2">
      <c r="A203" s="16" t="s">
        <v>743</v>
      </c>
      <c r="B203" s="92" t="s">
        <v>517</v>
      </c>
      <c r="C203" s="255"/>
      <c r="D203" s="19" t="s">
        <v>58</v>
      </c>
      <c r="E203" s="19" t="s">
        <v>58</v>
      </c>
      <c r="F203" s="21">
        <f>(3205702)/1000*$F$5</f>
        <v>3205.7020000000002</v>
      </c>
      <c r="G203" s="21">
        <f t="shared" si="18"/>
        <v>3205.7020000000002</v>
      </c>
      <c r="H203" s="142" t="s">
        <v>482</v>
      </c>
      <c r="I203" s="34"/>
      <c r="J203" s="1" t="s">
        <v>516</v>
      </c>
    </row>
    <row r="204" spans="1:10" ht="36" x14ac:dyDescent="0.2">
      <c r="A204" s="16" t="s">
        <v>744</v>
      </c>
      <c r="B204" s="92" t="s">
        <v>542</v>
      </c>
      <c r="C204" s="255"/>
      <c r="D204" s="19" t="s">
        <v>91</v>
      </c>
      <c r="E204" s="24" t="s">
        <v>139</v>
      </c>
      <c r="F204" s="21">
        <f>(9056742)/1000*$F$5</f>
        <v>9056.7420000000002</v>
      </c>
      <c r="G204" s="21">
        <f t="shared" si="18"/>
        <v>9056.7420000000002</v>
      </c>
      <c r="H204" s="142" t="s">
        <v>521</v>
      </c>
      <c r="I204" s="34"/>
      <c r="J204" s="1" t="s">
        <v>518</v>
      </c>
    </row>
    <row r="205" spans="1:10" ht="36" x14ac:dyDescent="0.2">
      <c r="A205" s="16" t="s">
        <v>745</v>
      </c>
      <c r="B205" s="92" t="s">
        <v>542</v>
      </c>
      <c r="C205" s="255"/>
      <c r="D205" s="19" t="s">
        <v>139</v>
      </c>
      <c r="E205" s="19" t="s">
        <v>211</v>
      </c>
      <c r="F205" s="21">
        <f>(3645714)/1000*$F$5</f>
        <v>3645.7139999999999</v>
      </c>
      <c r="G205" s="21">
        <f t="shared" si="18"/>
        <v>3645.7139999999999</v>
      </c>
      <c r="H205" s="142" t="s">
        <v>523</v>
      </c>
      <c r="I205" s="34"/>
      <c r="J205" s="1" t="s">
        <v>522</v>
      </c>
    </row>
    <row r="206" spans="1:10" ht="72" x14ac:dyDescent="0.2">
      <c r="A206" s="16" t="s">
        <v>746</v>
      </c>
      <c r="B206" s="92" t="s">
        <v>542</v>
      </c>
      <c r="C206" s="255"/>
      <c r="D206" s="19" t="s">
        <v>211</v>
      </c>
      <c r="E206" s="24" t="s">
        <v>519</v>
      </c>
      <c r="F206" s="21">
        <f>(5120965)/1000*$F$5</f>
        <v>5120.9650000000001</v>
      </c>
      <c r="G206" s="21">
        <f t="shared" si="18"/>
        <v>5120.9650000000001</v>
      </c>
      <c r="H206" s="142" t="s">
        <v>790</v>
      </c>
      <c r="I206" s="34"/>
      <c r="J206" s="1" t="s">
        <v>520</v>
      </c>
    </row>
    <row r="207" spans="1:10" ht="36" x14ac:dyDescent="0.2">
      <c r="A207" s="16" t="s">
        <v>747</v>
      </c>
      <c r="B207" s="92" t="s">
        <v>525</v>
      </c>
      <c r="C207" s="255"/>
      <c r="D207" s="19" t="s">
        <v>101</v>
      </c>
      <c r="E207" s="24" t="s">
        <v>141</v>
      </c>
      <c r="F207" s="21">
        <f>(3928184)/1000*$F$5</f>
        <v>3928.1840000000002</v>
      </c>
      <c r="G207" s="21">
        <f t="shared" si="18"/>
        <v>3928.1840000000002</v>
      </c>
      <c r="H207" s="142" t="s">
        <v>528</v>
      </c>
      <c r="I207" s="34"/>
      <c r="J207" s="1" t="s">
        <v>524</v>
      </c>
    </row>
    <row r="208" spans="1:10" ht="36" x14ac:dyDescent="0.2">
      <c r="A208" s="16" t="s">
        <v>748</v>
      </c>
      <c r="B208" s="92" t="s">
        <v>526</v>
      </c>
      <c r="C208" s="255"/>
      <c r="D208" s="19" t="s">
        <v>104</v>
      </c>
      <c r="E208" s="24" t="s">
        <v>20</v>
      </c>
      <c r="F208" s="21">
        <f>(1807561)/1000*$F$5</f>
        <v>1807.5609999999999</v>
      </c>
      <c r="G208" s="21">
        <f t="shared" si="18"/>
        <v>1807.5609999999999</v>
      </c>
      <c r="H208" s="142" t="s">
        <v>422</v>
      </c>
      <c r="I208" s="34"/>
      <c r="J208" s="1" t="s">
        <v>527</v>
      </c>
    </row>
    <row r="209" spans="1:10" ht="84" x14ac:dyDescent="0.2">
      <c r="A209" s="16" t="s">
        <v>749</v>
      </c>
      <c r="B209" s="92" t="s">
        <v>529</v>
      </c>
      <c r="C209" s="255"/>
      <c r="D209" s="19" t="s">
        <v>107</v>
      </c>
      <c r="E209" s="24" t="s">
        <v>531</v>
      </c>
      <c r="F209" s="21">
        <f>(3056511)/1000*$F$5</f>
        <v>3056.511</v>
      </c>
      <c r="G209" s="21">
        <f t="shared" si="18"/>
        <v>3056.511</v>
      </c>
      <c r="H209" s="142" t="s">
        <v>530</v>
      </c>
      <c r="I209" s="34"/>
      <c r="J209" s="1" t="s">
        <v>532</v>
      </c>
    </row>
    <row r="210" spans="1:10" ht="36" x14ac:dyDescent="0.2">
      <c r="A210" s="17" t="s">
        <v>750</v>
      </c>
      <c r="B210" s="92" t="s">
        <v>534</v>
      </c>
      <c r="C210" s="256"/>
      <c r="D210" s="19" t="s">
        <v>107</v>
      </c>
      <c r="E210" s="24" t="s">
        <v>17</v>
      </c>
      <c r="F210" s="147">
        <f>(6230000)/1000*$F$5</f>
        <v>6230</v>
      </c>
      <c r="G210" s="147">
        <f t="shared" si="18"/>
        <v>6230</v>
      </c>
      <c r="H210" s="142" t="s">
        <v>535</v>
      </c>
      <c r="I210" s="34"/>
      <c r="J210" s="1" t="s">
        <v>533</v>
      </c>
    </row>
    <row r="211" spans="1:10" ht="96" x14ac:dyDescent="0.2">
      <c r="A211" s="17" t="s">
        <v>751</v>
      </c>
      <c r="B211" s="129" t="s">
        <v>791</v>
      </c>
      <c r="C211" s="71" t="s">
        <v>792</v>
      </c>
      <c r="D211" s="11" t="s">
        <v>86</v>
      </c>
      <c r="E211" s="11" t="s">
        <v>91</v>
      </c>
      <c r="F211" s="147">
        <f>(2720619)/1000*$F$5</f>
        <v>2720.6190000000001</v>
      </c>
      <c r="G211" s="147">
        <f t="shared" si="18"/>
        <v>2720.6190000000001</v>
      </c>
      <c r="H211" s="2" t="s">
        <v>793</v>
      </c>
      <c r="I211" s="3"/>
      <c r="J211" s="1" t="s">
        <v>628</v>
      </c>
    </row>
    <row r="212" spans="1:10" ht="48" x14ac:dyDescent="0.2">
      <c r="A212" s="17" t="s">
        <v>752</v>
      </c>
      <c r="B212" s="94" t="s">
        <v>635</v>
      </c>
      <c r="C212" s="71" t="s">
        <v>636</v>
      </c>
      <c r="D212" s="11" t="s">
        <v>22</v>
      </c>
      <c r="E212" s="11" t="s">
        <v>18</v>
      </c>
      <c r="F212" s="147">
        <f>(6361573.23)/1000*$F$5</f>
        <v>6361.5732300000009</v>
      </c>
      <c r="G212" s="147">
        <f t="shared" si="18"/>
        <v>6361.5732300000009</v>
      </c>
      <c r="H212" s="2" t="s">
        <v>639</v>
      </c>
      <c r="I212" s="3"/>
    </row>
    <row r="213" spans="1:10" ht="72" x14ac:dyDescent="0.2">
      <c r="A213" s="75" t="s">
        <v>753</v>
      </c>
      <c r="B213" s="94" t="s">
        <v>616</v>
      </c>
      <c r="C213" s="71" t="s">
        <v>619</v>
      </c>
      <c r="D213" s="11" t="s">
        <v>93</v>
      </c>
      <c r="E213" s="11" t="s">
        <v>9</v>
      </c>
      <c r="F213" s="147">
        <f>(5002224)/1000*$F$5</f>
        <v>5002.2240000000002</v>
      </c>
      <c r="G213" s="147">
        <f t="shared" si="18"/>
        <v>5002.2240000000002</v>
      </c>
      <c r="H213" s="2" t="s">
        <v>617</v>
      </c>
      <c r="I213" s="3"/>
      <c r="J213" s="1" t="s">
        <v>618</v>
      </c>
    </row>
    <row r="214" spans="1:10" ht="60" x14ac:dyDescent="0.2">
      <c r="A214" s="17" t="s">
        <v>754</v>
      </c>
      <c r="B214" s="94" t="s">
        <v>794</v>
      </c>
      <c r="C214" s="71" t="s">
        <v>795</v>
      </c>
      <c r="D214" s="11" t="s">
        <v>177</v>
      </c>
      <c r="E214" s="11" t="s">
        <v>8</v>
      </c>
      <c r="F214" s="147">
        <f>(6175000+2850000)/1000*$F$5</f>
        <v>9025</v>
      </c>
      <c r="G214" s="147">
        <f t="shared" si="18"/>
        <v>9025</v>
      </c>
      <c r="H214" s="2" t="s">
        <v>549</v>
      </c>
      <c r="I214" s="3"/>
      <c r="J214" s="62" t="s">
        <v>550</v>
      </c>
    </row>
    <row r="215" spans="1:10" ht="84" x14ac:dyDescent="0.2">
      <c r="A215" s="16" t="s">
        <v>755</v>
      </c>
      <c r="B215" s="125" t="s">
        <v>798</v>
      </c>
      <c r="C215" s="71" t="s">
        <v>555</v>
      </c>
      <c r="D215" s="11" t="s">
        <v>410</v>
      </c>
      <c r="E215" s="11" t="s">
        <v>127</v>
      </c>
      <c r="F215" s="147">
        <f>(2130356+1597705)/1000*$F$5</f>
        <v>3728.0610000000001</v>
      </c>
      <c r="G215" s="147">
        <f t="shared" si="18"/>
        <v>3728.0610000000001</v>
      </c>
      <c r="H215" s="2" t="s">
        <v>553</v>
      </c>
      <c r="I215" s="3"/>
    </row>
    <row r="216" spans="1:10" ht="60" x14ac:dyDescent="0.2">
      <c r="A216" s="16" t="s">
        <v>757</v>
      </c>
      <c r="B216" s="126"/>
      <c r="C216" s="257" t="s">
        <v>554</v>
      </c>
      <c r="D216" s="19" t="s">
        <v>49</v>
      </c>
      <c r="E216" s="19" t="s">
        <v>54</v>
      </c>
      <c r="F216" s="21">
        <f>(946726+686086)/1000*$F$5</f>
        <v>1632.8119999999999</v>
      </c>
      <c r="G216" s="21">
        <f t="shared" si="18"/>
        <v>1632.8119999999999</v>
      </c>
      <c r="H216" s="58" t="s">
        <v>564</v>
      </c>
      <c r="I216" s="59"/>
      <c r="J216" s="62" t="s">
        <v>563</v>
      </c>
    </row>
    <row r="217" spans="1:10" ht="36" x14ac:dyDescent="0.2">
      <c r="A217" s="16" t="s">
        <v>758</v>
      </c>
      <c r="B217" s="126"/>
      <c r="C217" s="258"/>
      <c r="D217" s="19" t="s">
        <v>4</v>
      </c>
      <c r="E217" s="19" t="s">
        <v>5</v>
      </c>
      <c r="F217" s="21">
        <f>(740000+867118)/1000*$F$5</f>
        <v>1607.1179999999999</v>
      </c>
      <c r="G217" s="21">
        <f t="shared" si="18"/>
        <v>1607.1179999999999</v>
      </c>
      <c r="H217" s="58" t="s">
        <v>565</v>
      </c>
      <c r="I217" s="59"/>
      <c r="J217" s="62" t="s">
        <v>620</v>
      </c>
    </row>
    <row r="218" spans="1:10" ht="36" x14ac:dyDescent="0.2">
      <c r="A218" s="16" t="s">
        <v>759</v>
      </c>
      <c r="B218" s="126"/>
      <c r="C218" s="258"/>
      <c r="D218" s="19" t="s">
        <v>137</v>
      </c>
      <c r="E218" s="19" t="s">
        <v>9</v>
      </c>
      <c r="F218" s="21">
        <f>(1509648+1083366)/1000*$F$5</f>
        <v>2593.0140000000001</v>
      </c>
      <c r="G218" s="21">
        <f t="shared" si="18"/>
        <v>2593.0140000000001</v>
      </c>
      <c r="H218" s="58" t="s">
        <v>565</v>
      </c>
      <c r="I218" s="59"/>
      <c r="J218" s="62" t="s">
        <v>621</v>
      </c>
    </row>
    <row r="219" spans="1:10" ht="36" x14ac:dyDescent="0.2">
      <c r="A219" s="16" t="s">
        <v>760</v>
      </c>
      <c r="B219" s="126"/>
      <c r="C219" s="258"/>
      <c r="D219" s="19" t="s">
        <v>508</v>
      </c>
      <c r="E219" s="19" t="s">
        <v>16</v>
      </c>
      <c r="F219" s="21">
        <f>(4608712+1700000)/1000*$F$5</f>
        <v>6308.7120000000004</v>
      </c>
      <c r="G219" s="21">
        <f t="shared" si="18"/>
        <v>6308.7120000000004</v>
      </c>
      <c r="H219" s="58" t="s">
        <v>565</v>
      </c>
      <c r="I219" s="59"/>
      <c r="J219" s="62" t="s">
        <v>623</v>
      </c>
    </row>
    <row r="220" spans="1:10" ht="48" customHeight="1" x14ac:dyDescent="0.2">
      <c r="A220" s="16" t="s">
        <v>761</v>
      </c>
      <c r="B220" s="127"/>
      <c r="C220" s="259"/>
      <c r="D220" s="19" t="s">
        <v>61</v>
      </c>
      <c r="E220" s="19" t="s">
        <v>103</v>
      </c>
      <c r="F220" s="21">
        <f>(4390000074)/1000*$F$5</f>
        <v>4390000.074</v>
      </c>
      <c r="G220" s="21">
        <f t="shared" si="18"/>
        <v>4390000.074</v>
      </c>
      <c r="H220" s="58" t="s">
        <v>756</v>
      </c>
      <c r="I220" s="59"/>
      <c r="J220" s="1" t="s">
        <v>624</v>
      </c>
    </row>
    <row r="221" spans="1:10" ht="60" x14ac:dyDescent="0.2">
      <c r="A221" s="128" t="s">
        <v>762</v>
      </c>
      <c r="B221" s="71" t="s">
        <v>797</v>
      </c>
      <c r="C221" s="71" t="s">
        <v>637</v>
      </c>
      <c r="D221" s="11" t="s">
        <v>141</v>
      </c>
      <c r="E221" s="11" t="s">
        <v>638</v>
      </c>
      <c r="F221" s="111">
        <f>(1240980)/1000*$F$5</f>
        <v>1240.98</v>
      </c>
      <c r="G221" s="111">
        <f t="shared" si="18"/>
        <v>1240.98</v>
      </c>
      <c r="H221" s="2" t="s">
        <v>640</v>
      </c>
      <c r="I221" s="3"/>
      <c r="J221" s="1" t="s">
        <v>641</v>
      </c>
    </row>
    <row r="223" spans="1:10" x14ac:dyDescent="0.2">
      <c r="B223" s="260" t="s">
        <v>796</v>
      </c>
      <c r="C223" s="260"/>
      <c r="D223" s="260"/>
      <c r="E223" s="260"/>
      <c r="F223" s="260"/>
      <c r="G223" s="260"/>
      <c r="H223" s="260"/>
      <c r="I223" s="260"/>
    </row>
    <row r="225" spans="1:1" x14ac:dyDescent="0.2">
      <c r="A225" s="1" t="s">
        <v>806</v>
      </c>
    </row>
  </sheetData>
  <mergeCells count="38">
    <mergeCell ref="B2:I2"/>
    <mergeCell ref="B3:I3"/>
    <mergeCell ref="B4:I4"/>
    <mergeCell ref="A6:A7"/>
    <mergeCell ref="B6:B7"/>
    <mergeCell ref="C6:C7"/>
    <mergeCell ref="D6:E6"/>
    <mergeCell ref="F6:G6"/>
    <mergeCell ref="H6:H7"/>
    <mergeCell ref="I6:I7"/>
    <mergeCell ref="C115:C117"/>
    <mergeCell ref="C9:C21"/>
    <mergeCell ref="C23:C32"/>
    <mergeCell ref="C34:C53"/>
    <mergeCell ref="C54:C55"/>
    <mergeCell ref="C56:C57"/>
    <mergeCell ref="C58:C60"/>
    <mergeCell ref="C62:C68"/>
    <mergeCell ref="C84:C94"/>
    <mergeCell ref="C104:C108"/>
    <mergeCell ref="C110:C111"/>
    <mergeCell ref="C112:C114"/>
    <mergeCell ref="C119:C129"/>
    <mergeCell ref="C130:C139"/>
    <mergeCell ref="C140:C141"/>
    <mergeCell ref="C145:C149"/>
    <mergeCell ref="C151:C152"/>
    <mergeCell ref="C171:C180"/>
    <mergeCell ref="C181:C210"/>
    <mergeCell ref="C216:C220"/>
    <mergeCell ref="B223:I223"/>
    <mergeCell ref="E151:E152"/>
    <mergeCell ref="F151:F152"/>
    <mergeCell ref="G151:G152"/>
    <mergeCell ref="C154:C155"/>
    <mergeCell ref="C163:C164"/>
    <mergeCell ref="C165:C167"/>
    <mergeCell ref="D151:D1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57"/>
  <sheetViews>
    <sheetView showZeros="0" view="pageBreakPreview" topLeftCell="A217" zoomScale="120" zoomScaleNormal="120" zoomScaleSheetLayoutView="120" workbookViewId="0">
      <selection activeCell="D205" sqref="D205"/>
    </sheetView>
  </sheetViews>
  <sheetFormatPr defaultColWidth="9.140625" defaultRowHeight="12" x14ac:dyDescent="0.2"/>
  <cols>
    <col min="1" max="1" width="5.140625" style="1" customWidth="1"/>
    <col min="2" max="2" width="29.5703125" style="1" customWidth="1"/>
    <col min="3" max="3" width="35.7109375" style="1" customWidth="1"/>
    <col min="4" max="4" width="9.85546875" style="185" customWidth="1"/>
    <col min="5" max="5" width="32.5703125" style="136" customWidth="1"/>
    <col min="6" max="6" width="9.140625" style="1" customWidth="1"/>
    <col min="7" max="7" width="10.42578125" style="1" customWidth="1"/>
    <col min="8" max="8" width="12.42578125" style="1" customWidth="1"/>
    <col min="9" max="9" width="11.42578125" style="1" customWidth="1"/>
    <col min="10" max="10" width="38.28515625" style="1" customWidth="1"/>
    <col min="11" max="11" width="8.7109375" style="1" hidden="1" customWidth="1"/>
    <col min="12" max="12" width="20.42578125" style="1" customWidth="1"/>
    <col min="13" max="16384" width="9.140625" style="1"/>
  </cols>
  <sheetData>
    <row r="2" spans="1:12" x14ac:dyDescent="0.2">
      <c r="B2" s="268" t="s">
        <v>39</v>
      </c>
      <c r="C2" s="268"/>
      <c r="D2" s="268"/>
      <c r="E2" s="268"/>
      <c r="F2" s="268"/>
      <c r="G2" s="268"/>
      <c r="H2" s="268"/>
      <c r="I2" s="268"/>
      <c r="J2" s="268"/>
      <c r="K2" s="268"/>
    </row>
    <row r="3" spans="1:12" x14ac:dyDescent="0.2">
      <c r="B3" s="268" t="s">
        <v>40</v>
      </c>
      <c r="C3" s="268"/>
      <c r="D3" s="268"/>
      <c r="E3" s="268"/>
      <c r="F3" s="268"/>
      <c r="G3" s="268"/>
      <c r="H3" s="268"/>
      <c r="I3" s="268"/>
      <c r="J3" s="268"/>
      <c r="K3" s="268"/>
    </row>
    <row r="4" spans="1:12" x14ac:dyDescent="0.2">
      <c r="B4" s="268" t="s">
        <v>41</v>
      </c>
      <c r="C4" s="268"/>
      <c r="D4" s="268"/>
      <c r="E4" s="268"/>
      <c r="F4" s="268"/>
      <c r="G4" s="268"/>
      <c r="H4" s="268"/>
      <c r="I4" s="268"/>
      <c r="J4" s="268"/>
      <c r="K4" s="268"/>
    </row>
    <row r="5" spans="1:12" ht="15.6" customHeight="1" x14ac:dyDescent="0.2">
      <c r="B5" s="8"/>
      <c r="C5" s="8"/>
      <c r="D5" s="169"/>
      <c r="E5" s="134"/>
      <c r="F5" s="8"/>
      <c r="G5" s="8"/>
      <c r="H5" s="10">
        <v>1</v>
      </c>
      <c r="I5" s="8"/>
      <c r="J5" s="8"/>
      <c r="K5" s="8"/>
    </row>
    <row r="6" spans="1:12" ht="25.5" customHeight="1" x14ac:dyDescent="0.2">
      <c r="A6" s="269" t="s">
        <v>65</v>
      </c>
      <c r="B6" s="269" t="s">
        <v>0</v>
      </c>
      <c r="C6" s="271" t="s">
        <v>807</v>
      </c>
      <c r="D6" s="274" t="s">
        <v>808</v>
      </c>
      <c r="E6" s="271" t="s">
        <v>809</v>
      </c>
      <c r="F6" s="273" t="s">
        <v>1</v>
      </c>
      <c r="G6" s="273"/>
      <c r="H6" s="273" t="s">
        <v>43</v>
      </c>
      <c r="I6" s="273"/>
      <c r="J6" s="273" t="s">
        <v>44</v>
      </c>
      <c r="K6" s="273" t="s">
        <v>45</v>
      </c>
    </row>
    <row r="7" spans="1:12" ht="56.45" customHeight="1" x14ac:dyDescent="0.2">
      <c r="A7" s="270"/>
      <c r="B7" s="270"/>
      <c r="C7" s="272"/>
      <c r="D7" s="275"/>
      <c r="E7" s="272"/>
      <c r="F7" s="6" t="s">
        <v>2</v>
      </c>
      <c r="G7" s="22" t="s">
        <v>42</v>
      </c>
      <c r="H7" s="6" t="s">
        <v>3</v>
      </c>
      <c r="I7" s="6" t="s">
        <v>33</v>
      </c>
      <c r="J7" s="273"/>
      <c r="K7" s="273"/>
      <c r="L7" s="1" t="s">
        <v>346</v>
      </c>
    </row>
    <row r="8" spans="1:12" ht="11.45" customHeight="1" x14ac:dyDescent="0.2">
      <c r="A8" s="3">
        <v>1</v>
      </c>
      <c r="B8" s="3">
        <v>2</v>
      </c>
      <c r="C8" s="3">
        <v>3</v>
      </c>
      <c r="D8" s="170"/>
      <c r="E8" s="135"/>
      <c r="F8" s="3">
        <v>4</v>
      </c>
      <c r="G8" s="3">
        <v>5</v>
      </c>
      <c r="H8" s="3">
        <v>6</v>
      </c>
      <c r="I8" s="3">
        <v>7</v>
      </c>
      <c r="J8" s="3">
        <v>8</v>
      </c>
      <c r="K8" s="3">
        <v>9</v>
      </c>
    </row>
    <row r="9" spans="1:12" ht="40.5" customHeight="1" x14ac:dyDescent="0.2">
      <c r="A9" s="154" t="s">
        <v>116</v>
      </c>
      <c r="B9" s="153" t="s">
        <v>834</v>
      </c>
      <c r="C9" s="265" t="s">
        <v>117</v>
      </c>
      <c r="D9" s="171"/>
      <c r="E9" s="118"/>
      <c r="F9" s="18"/>
      <c r="G9" s="18"/>
      <c r="H9" s="20"/>
      <c r="I9" s="20"/>
      <c r="J9" s="26"/>
      <c r="K9" s="14"/>
    </row>
    <row r="10" spans="1:12" ht="60" x14ac:dyDescent="0.2">
      <c r="A10" s="16" t="s">
        <v>66</v>
      </c>
      <c r="B10" s="30" t="s">
        <v>812</v>
      </c>
      <c r="C10" s="266"/>
      <c r="D10" s="172" t="s">
        <v>810</v>
      </c>
      <c r="E10" s="92" t="s">
        <v>833</v>
      </c>
      <c r="F10" s="19" t="s">
        <v>46</v>
      </c>
      <c r="G10" s="19" t="s">
        <v>4</v>
      </c>
      <c r="H10" s="21">
        <f>(20240490)/1000*$H$5</f>
        <v>20240.490000000002</v>
      </c>
      <c r="I10" s="21">
        <f>H10-(53737)/1000*$H$5</f>
        <v>20186.753000000001</v>
      </c>
      <c r="J10" s="27" t="s">
        <v>47</v>
      </c>
      <c r="K10" s="15"/>
    </row>
    <row r="11" spans="1:12" ht="48" x14ac:dyDescent="0.2">
      <c r="A11" s="16" t="s">
        <v>67</v>
      </c>
      <c r="B11" s="30" t="s">
        <v>242</v>
      </c>
      <c r="C11" s="266"/>
      <c r="D11" s="172" t="s">
        <v>811</v>
      </c>
      <c r="E11" s="92" t="s">
        <v>242</v>
      </c>
      <c r="F11" s="19" t="s">
        <v>48</v>
      </c>
      <c r="G11" s="19" t="s">
        <v>52</v>
      </c>
      <c r="H11" s="21">
        <f>(3127000/1.18)/1000*$H$5</f>
        <v>2650</v>
      </c>
      <c r="I11" s="21">
        <f>H11-(0)/1000*$H$5</f>
        <v>2650</v>
      </c>
      <c r="J11" s="27" t="s">
        <v>647</v>
      </c>
      <c r="K11" s="15"/>
    </row>
    <row r="12" spans="1:12" ht="36" x14ac:dyDescent="0.2">
      <c r="A12" s="16" t="s">
        <v>68</v>
      </c>
      <c r="B12" s="30" t="s">
        <v>243</v>
      </c>
      <c r="C12" s="266"/>
      <c r="D12" s="172" t="s">
        <v>813</v>
      </c>
      <c r="E12" s="132" t="s">
        <v>50</v>
      </c>
      <c r="F12" s="19" t="s">
        <v>12</v>
      </c>
      <c r="G12" s="19" t="s">
        <v>49</v>
      </c>
      <c r="H12" s="21">
        <f>(11142291.6/1.18)/1000*$H$5</f>
        <v>9442.6200000000008</v>
      </c>
      <c r="I12" s="21">
        <f>H12-(7388413.6)/1000*$H$5</f>
        <v>2054.2064000000009</v>
      </c>
      <c r="J12" s="27" t="s">
        <v>50</v>
      </c>
      <c r="K12" s="15"/>
    </row>
    <row r="13" spans="1:12" ht="48" x14ac:dyDescent="0.2">
      <c r="A13" s="16" t="s">
        <v>69</v>
      </c>
      <c r="B13" s="30" t="s">
        <v>817</v>
      </c>
      <c r="C13" s="266"/>
      <c r="D13" s="172" t="s">
        <v>815</v>
      </c>
      <c r="E13" s="119" t="s">
        <v>814</v>
      </c>
      <c r="F13" s="19" t="s">
        <v>51</v>
      </c>
      <c r="G13" s="19" t="s">
        <v>52</v>
      </c>
      <c r="H13" s="21">
        <f>(3600000)/1000*$H$5</f>
        <v>3600</v>
      </c>
      <c r="I13" s="21">
        <f t="shared" ref="I13:I27" si="0">H13-(0)/1000*$H$5</f>
        <v>3600</v>
      </c>
      <c r="J13" s="27" t="s">
        <v>53</v>
      </c>
      <c r="K13" s="15"/>
    </row>
    <row r="14" spans="1:12" ht="48" x14ac:dyDescent="0.2">
      <c r="A14" s="16" t="s">
        <v>70</v>
      </c>
      <c r="B14" s="30" t="s">
        <v>816</v>
      </c>
      <c r="C14" s="266"/>
      <c r="D14" s="172" t="s">
        <v>818</v>
      </c>
      <c r="E14" s="119" t="s">
        <v>819</v>
      </c>
      <c r="F14" s="19" t="s">
        <v>54</v>
      </c>
      <c r="G14" s="19" t="s">
        <v>25</v>
      </c>
      <c r="H14" s="21">
        <f>(2765753)/1000*$H$5</f>
        <v>2765.7530000000002</v>
      </c>
      <c r="I14" s="21">
        <f>H14-(401097)/1000*$H$5</f>
        <v>2364.6559999999999</v>
      </c>
      <c r="J14" s="27" t="s">
        <v>55</v>
      </c>
      <c r="K14" s="15"/>
    </row>
    <row r="15" spans="1:12" ht="48" x14ac:dyDescent="0.2">
      <c r="A15" s="16" t="s">
        <v>71</v>
      </c>
      <c r="B15" s="30" t="s">
        <v>244</v>
      </c>
      <c r="C15" s="266"/>
      <c r="D15" s="172" t="s">
        <v>820</v>
      </c>
      <c r="E15" s="132" t="s">
        <v>814</v>
      </c>
      <c r="F15" s="19" t="s">
        <v>56</v>
      </c>
      <c r="G15" s="19" t="s">
        <v>52</v>
      </c>
      <c r="H15" s="21">
        <f>(5000000)/1000*$H$5</f>
        <v>5000</v>
      </c>
      <c r="I15" s="21">
        <f t="shared" si="0"/>
        <v>5000</v>
      </c>
      <c r="J15" s="27" t="s">
        <v>170</v>
      </c>
      <c r="K15" s="15"/>
    </row>
    <row r="16" spans="1:12" ht="54.75" customHeight="1" x14ac:dyDescent="0.2">
      <c r="A16" s="16" t="s">
        <v>72</v>
      </c>
      <c r="B16" s="30" t="s">
        <v>821</v>
      </c>
      <c r="C16" s="266"/>
      <c r="D16" s="172" t="s">
        <v>822</v>
      </c>
      <c r="E16" s="132" t="s">
        <v>819</v>
      </c>
      <c r="F16" s="19" t="s">
        <v>4</v>
      </c>
      <c r="G16" s="19" t="s">
        <v>7</v>
      </c>
      <c r="H16" s="21">
        <f>(5947000)/1000*$H$5</f>
        <v>5947</v>
      </c>
      <c r="I16" s="21">
        <f>H16-(322033.9)/1000*$H$5</f>
        <v>5624.9660999999996</v>
      </c>
      <c r="J16" s="27" t="s">
        <v>57</v>
      </c>
      <c r="K16" s="15"/>
    </row>
    <row r="17" spans="1:11" ht="67.5" customHeight="1" x14ac:dyDescent="0.2">
      <c r="A17" s="16" t="s">
        <v>73</v>
      </c>
      <c r="B17" s="30" t="s">
        <v>823</v>
      </c>
      <c r="C17" s="266"/>
      <c r="D17" s="172" t="s">
        <v>824</v>
      </c>
      <c r="E17" s="132" t="s">
        <v>59</v>
      </c>
      <c r="F17" s="19" t="s">
        <v>58</v>
      </c>
      <c r="G17" s="19" t="s">
        <v>58</v>
      </c>
      <c r="H17" s="21">
        <f>(720000)/1000*$H$5</f>
        <v>720</v>
      </c>
      <c r="I17" s="21">
        <f>H17-(128844)/1000*$H$5</f>
        <v>591.15599999999995</v>
      </c>
      <c r="J17" s="27" t="s">
        <v>59</v>
      </c>
      <c r="K17" s="15"/>
    </row>
    <row r="18" spans="1:11" ht="36" x14ac:dyDescent="0.2">
      <c r="A18" s="16" t="s">
        <v>74</v>
      </c>
      <c r="B18" s="30" t="s">
        <v>825</v>
      </c>
      <c r="C18" s="266"/>
      <c r="D18" s="172" t="s">
        <v>832</v>
      </c>
      <c r="E18" s="132" t="s">
        <v>59</v>
      </c>
      <c r="F18" s="19" t="s">
        <v>60</v>
      </c>
      <c r="G18" s="19" t="s">
        <v>60</v>
      </c>
      <c r="H18" s="21">
        <f>(700000)/1000*$H$5</f>
        <v>700</v>
      </c>
      <c r="I18" s="21">
        <f t="shared" si="0"/>
        <v>700</v>
      </c>
      <c r="J18" s="27" t="s">
        <v>59</v>
      </c>
      <c r="K18" s="15"/>
    </row>
    <row r="19" spans="1:11" ht="36" x14ac:dyDescent="0.2">
      <c r="A19" s="16" t="s">
        <v>75</v>
      </c>
      <c r="B19" s="30" t="s">
        <v>826</v>
      </c>
      <c r="C19" s="266"/>
      <c r="D19" s="172" t="s">
        <v>828</v>
      </c>
      <c r="E19" s="119" t="s">
        <v>59</v>
      </c>
      <c r="F19" s="19" t="s">
        <v>61</v>
      </c>
      <c r="G19" s="19" t="s">
        <v>61</v>
      </c>
      <c r="H19" s="21">
        <f>(720000)/1000*$H$5</f>
        <v>720</v>
      </c>
      <c r="I19" s="21">
        <f t="shared" si="0"/>
        <v>720</v>
      </c>
      <c r="J19" s="27" t="s">
        <v>59</v>
      </c>
      <c r="K19" s="15"/>
    </row>
    <row r="20" spans="1:11" ht="36" x14ac:dyDescent="0.2">
      <c r="A20" s="16" t="s">
        <v>76</v>
      </c>
      <c r="B20" s="30" t="s">
        <v>827</v>
      </c>
      <c r="C20" s="266"/>
      <c r="D20" s="172" t="s">
        <v>829</v>
      </c>
      <c r="E20" s="119" t="s">
        <v>59</v>
      </c>
      <c r="F20" s="19" t="s">
        <v>62</v>
      </c>
      <c r="G20" s="19" t="s">
        <v>62</v>
      </c>
      <c r="H20" s="21">
        <f>(730000)/1000*$H$5</f>
        <v>730</v>
      </c>
      <c r="I20" s="21">
        <f t="shared" si="0"/>
        <v>730</v>
      </c>
      <c r="J20" s="27" t="s">
        <v>59</v>
      </c>
      <c r="K20" s="15"/>
    </row>
    <row r="21" spans="1:11" ht="48" x14ac:dyDescent="0.2">
      <c r="A21" s="16" t="s">
        <v>77</v>
      </c>
      <c r="B21" s="149" t="s">
        <v>245</v>
      </c>
      <c r="C21" s="266"/>
      <c r="D21" s="172" t="s">
        <v>831</v>
      </c>
      <c r="E21" s="119" t="s">
        <v>830</v>
      </c>
      <c r="F21" s="19" t="s">
        <v>16</v>
      </c>
      <c r="G21" s="19" t="s">
        <v>63</v>
      </c>
      <c r="H21" s="21">
        <f>(170917+20177971)/1000*$H$5</f>
        <v>20348.887999999999</v>
      </c>
      <c r="I21" s="21">
        <f>H21-(2286003+6277093)/1000*$H$5</f>
        <v>11785.791999999999</v>
      </c>
      <c r="J21" s="27" t="s">
        <v>64</v>
      </c>
      <c r="K21" s="15"/>
    </row>
    <row r="22" spans="1:11" ht="140.25" customHeight="1" x14ac:dyDescent="0.2">
      <c r="A22" s="16" t="s">
        <v>80</v>
      </c>
      <c r="B22" s="149" t="s">
        <v>853</v>
      </c>
      <c r="C22" s="28" t="s">
        <v>81</v>
      </c>
      <c r="D22" s="173" t="s">
        <v>854</v>
      </c>
      <c r="E22" s="116" t="s">
        <v>79</v>
      </c>
      <c r="F22" s="19" t="s">
        <v>78</v>
      </c>
      <c r="G22" s="19" t="s">
        <v>7</v>
      </c>
      <c r="H22" s="21">
        <f>(3293513)/1000*$H$5</f>
        <v>3293.5129999999999</v>
      </c>
      <c r="I22" s="21">
        <f t="shared" si="0"/>
        <v>3293.5129999999999</v>
      </c>
      <c r="J22" s="27" t="s">
        <v>79</v>
      </c>
      <c r="K22" s="15"/>
    </row>
    <row r="23" spans="1:11" ht="60" x14ac:dyDescent="0.2">
      <c r="A23" s="16" t="s">
        <v>82</v>
      </c>
      <c r="B23" s="30" t="s">
        <v>247</v>
      </c>
      <c r="C23" s="255" t="s">
        <v>83</v>
      </c>
      <c r="D23" s="173" t="s">
        <v>855</v>
      </c>
      <c r="E23" s="142" t="s">
        <v>85</v>
      </c>
      <c r="F23" s="19" t="s">
        <v>84</v>
      </c>
      <c r="G23" s="19" t="s">
        <v>7</v>
      </c>
      <c r="H23" s="21">
        <f>(15724959.7)/1000*$H$5</f>
        <v>15724.959699999999</v>
      </c>
      <c r="I23" s="21">
        <f t="shared" si="0"/>
        <v>15724.959699999999</v>
      </c>
      <c r="J23" s="27" t="s">
        <v>85</v>
      </c>
      <c r="K23" s="15"/>
    </row>
    <row r="24" spans="1:11" ht="96" x14ac:dyDescent="0.2">
      <c r="A24" s="16" t="s">
        <v>87</v>
      </c>
      <c r="B24" s="30" t="s">
        <v>247</v>
      </c>
      <c r="C24" s="255"/>
      <c r="D24" s="173" t="s">
        <v>856</v>
      </c>
      <c r="E24" s="142" t="s">
        <v>860</v>
      </c>
      <c r="F24" s="19" t="s">
        <v>86</v>
      </c>
      <c r="G24" s="19" t="s">
        <v>22</v>
      </c>
      <c r="H24" s="21">
        <f>(13589383)/1000*$H$5</f>
        <v>13589.383</v>
      </c>
      <c r="I24" s="21">
        <f t="shared" si="0"/>
        <v>13589.383</v>
      </c>
      <c r="J24" s="27" t="s">
        <v>109</v>
      </c>
      <c r="K24" s="15"/>
    </row>
    <row r="25" spans="1:11" ht="72" x14ac:dyDescent="0.2">
      <c r="A25" s="16" t="s">
        <v>88</v>
      </c>
      <c r="B25" s="30" t="s">
        <v>118</v>
      </c>
      <c r="C25" s="255"/>
      <c r="D25" s="173" t="s">
        <v>857</v>
      </c>
      <c r="E25" s="142" t="s">
        <v>861</v>
      </c>
      <c r="F25" s="19" t="s">
        <v>91</v>
      </c>
      <c r="G25" s="24" t="s">
        <v>873</v>
      </c>
      <c r="H25" s="21">
        <f>(9015373)/1000*$H$5</f>
        <v>9015.3729999999996</v>
      </c>
      <c r="I25" s="21">
        <f t="shared" si="0"/>
        <v>9015.3729999999996</v>
      </c>
      <c r="J25" s="27" t="s">
        <v>110</v>
      </c>
      <c r="K25" s="15"/>
    </row>
    <row r="26" spans="1:11" ht="48" x14ac:dyDescent="0.2">
      <c r="A26" s="16" t="s">
        <v>89</v>
      </c>
      <c r="B26" s="30" t="s">
        <v>247</v>
      </c>
      <c r="C26" s="255"/>
      <c r="D26" s="173" t="s">
        <v>859</v>
      </c>
      <c r="E26" s="142" t="s">
        <v>858</v>
      </c>
      <c r="F26" s="19" t="s">
        <v>93</v>
      </c>
      <c r="G26" s="24" t="s">
        <v>872</v>
      </c>
      <c r="H26" s="21">
        <f>(21058242)/1000*$H$5</f>
        <v>21058.241999999998</v>
      </c>
      <c r="I26" s="21">
        <f t="shared" si="0"/>
        <v>21058.241999999998</v>
      </c>
      <c r="J26" s="27" t="s">
        <v>108</v>
      </c>
      <c r="K26" s="15"/>
    </row>
    <row r="27" spans="1:11" ht="60" x14ac:dyDescent="0.2">
      <c r="A27" s="16" t="s">
        <v>90</v>
      </c>
      <c r="B27" s="30" t="s">
        <v>247</v>
      </c>
      <c r="C27" s="255"/>
      <c r="D27" s="173" t="s">
        <v>864</v>
      </c>
      <c r="E27" s="142" t="s">
        <v>862</v>
      </c>
      <c r="F27" s="19" t="s">
        <v>60</v>
      </c>
      <c r="G27" s="19" t="s">
        <v>95</v>
      </c>
      <c r="H27" s="21">
        <f>(2279276)/1000*$H$5</f>
        <v>2279.2759999999998</v>
      </c>
      <c r="I27" s="21">
        <f t="shared" si="0"/>
        <v>2279.2759999999998</v>
      </c>
      <c r="J27" s="27" t="s">
        <v>111</v>
      </c>
      <c r="K27" s="15"/>
    </row>
    <row r="28" spans="1:11" ht="60" x14ac:dyDescent="0.2">
      <c r="A28" s="16" t="s">
        <v>96</v>
      </c>
      <c r="B28" s="30" t="s">
        <v>247</v>
      </c>
      <c r="C28" s="255"/>
      <c r="D28" s="173" t="s">
        <v>863</v>
      </c>
      <c r="E28" s="142" t="s">
        <v>865</v>
      </c>
      <c r="F28" s="19" t="s">
        <v>95</v>
      </c>
      <c r="G28" s="19" t="s">
        <v>9</v>
      </c>
      <c r="H28" s="21">
        <f>(1136955)/1000*$H$5</f>
        <v>1136.9549999999999</v>
      </c>
      <c r="I28" s="21">
        <f t="shared" ref="I28:I37" si="1">H28-(0)/1000*$H$5</f>
        <v>1136.9549999999999</v>
      </c>
      <c r="J28" s="27" t="s">
        <v>112</v>
      </c>
      <c r="K28" s="15"/>
    </row>
    <row r="29" spans="1:11" ht="84" customHeight="1" x14ac:dyDescent="0.2">
      <c r="A29" s="16" t="s">
        <v>97</v>
      </c>
      <c r="B29" s="30" t="s">
        <v>247</v>
      </c>
      <c r="C29" s="255"/>
      <c r="D29" s="173" t="s">
        <v>866</v>
      </c>
      <c r="E29" s="142" t="s">
        <v>867</v>
      </c>
      <c r="F29" s="19" t="s">
        <v>101</v>
      </c>
      <c r="G29" s="24" t="s">
        <v>638</v>
      </c>
      <c r="H29" s="21">
        <f>(8510364)/1000*$H$5</f>
        <v>8510.3639999999996</v>
      </c>
      <c r="I29" s="21">
        <f t="shared" si="1"/>
        <v>8510.3639999999996</v>
      </c>
      <c r="J29" s="27" t="s">
        <v>113</v>
      </c>
      <c r="K29" s="15"/>
    </row>
    <row r="30" spans="1:11" ht="41.25" customHeight="1" x14ac:dyDescent="0.2">
      <c r="A30" s="16" t="s">
        <v>98</v>
      </c>
      <c r="B30" s="30" t="s">
        <v>247</v>
      </c>
      <c r="C30" s="255"/>
      <c r="D30" s="173" t="s">
        <v>868</v>
      </c>
      <c r="E30" s="142" t="s">
        <v>869</v>
      </c>
      <c r="F30" s="19" t="s">
        <v>103</v>
      </c>
      <c r="G30" s="19" t="s">
        <v>104</v>
      </c>
      <c r="H30" s="21">
        <f>(2290335)/1000*$H$5</f>
        <v>2290.335</v>
      </c>
      <c r="I30" s="21">
        <f t="shared" si="1"/>
        <v>2290.335</v>
      </c>
      <c r="J30" s="27" t="s">
        <v>105</v>
      </c>
      <c r="K30" s="15"/>
    </row>
    <row r="31" spans="1:11" ht="96" x14ac:dyDescent="0.2">
      <c r="A31" s="16" t="s">
        <v>99</v>
      </c>
      <c r="B31" s="30" t="s">
        <v>247</v>
      </c>
      <c r="C31" s="255"/>
      <c r="D31" s="173" t="s">
        <v>871</v>
      </c>
      <c r="E31" s="142" t="s">
        <v>870</v>
      </c>
      <c r="F31" s="19" t="s">
        <v>104</v>
      </c>
      <c r="G31" s="24" t="s">
        <v>874</v>
      </c>
      <c r="H31" s="21">
        <f>(7629477)/1000*$H$5</f>
        <v>7629.4769999999999</v>
      </c>
      <c r="I31" s="21">
        <f t="shared" si="1"/>
        <v>7629.4769999999999</v>
      </c>
      <c r="J31" s="27" t="s">
        <v>114</v>
      </c>
      <c r="K31" s="15"/>
    </row>
    <row r="32" spans="1:11" ht="60" x14ac:dyDescent="0.2">
      <c r="A32" s="16" t="s">
        <v>100</v>
      </c>
      <c r="B32" s="30" t="s">
        <v>247</v>
      </c>
      <c r="C32" s="255"/>
      <c r="D32" s="173" t="s">
        <v>877</v>
      </c>
      <c r="E32" s="142" t="s">
        <v>876</v>
      </c>
      <c r="F32" s="19" t="s">
        <v>16</v>
      </c>
      <c r="G32" s="19" t="s">
        <v>107</v>
      </c>
      <c r="H32" s="21">
        <f>(1831211)/1000*$H$5</f>
        <v>1831.211</v>
      </c>
      <c r="I32" s="21">
        <f t="shared" si="1"/>
        <v>1831.211</v>
      </c>
      <c r="J32" s="27" t="s">
        <v>875</v>
      </c>
      <c r="K32" s="15"/>
    </row>
    <row r="33" spans="1:11" ht="156" x14ac:dyDescent="0.2">
      <c r="A33" s="17" t="s">
        <v>149</v>
      </c>
      <c r="B33" s="33" t="s">
        <v>146</v>
      </c>
      <c r="C33" s="29" t="s">
        <v>648</v>
      </c>
      <c r="D33" s="174" t="s">
        <v>879</v>
      </c>
      <c r="E33" s="117" t="s">
        <v>878</v>
      </c>
      <c r="F33" s="12" t="s">
        <v>124</v>
      </c>
      <c r="G33" s="12" t="s">
        <v>56</v>
      </c>
      <c r="H33" s="13">
        <f>(407667.34/1.18)/1000*$H$5</f>
        <v>345.48079661016953</v>
      </c>
      <c r="I33" s="13">
        <f>H33</f>
        <v>345.48079661016953</v>
      </c>
      <c r="J33" s="23" t="s">
        <v>125</v>
      </c>
      <c r="K33" s="32"/>
    </row>
    <row r="34" spans="1:11" ht="50.25" customHeight="1" x14ac:dyDescent="0.2">
      <c r="A34" s="152" t="s">
        <v>148</v>
      </c>
      <c r="B34" s="153" t="s">
        <v>249</v>
      </c>
      <c r="C34" s="254" t="s">
        <v>147</v>
      </c>
      <c r="D34" s="175"/>
      <c r="E34" s="115"/>
      <c r="F34" s="18"/>
      <c r="G34" s="18"/>
      <c r="H34" s="20">
        <f t="shared" ref="H34" si="2">(0)/1000*$H$5</f>
        <v>0</v>
      </c>
      <c r="I34" s="20">
        <f t="shared" si="1"/>
        <v>0</v>
      </c>
      <c r="J34" s="26"/>
      <c r="K34" s="35"/>
    </row>
    <row r="35" spans="1:11" ht="64.5" customHeight="1" x14ac:dyDescent="0.2">
      <c r="A35" s="16" t="s">
        <v>122</v>
      </c>
      <c r="B35" s="155" t="s">
        <v>248</v>
      </c>
      <c r="C35" s="255"/>
      <c r="D35" s="173" t="s">
        <v>880</v>
      </c>
      <c r="E35" s="116" t="s">
        <v>128</v>
      </c>
      <c r="F35" s="19" t="s">
        <v>119</v>
      </c>
      <c r="G35" s="19" t="s">
        <v>119</v>
      </c>
      <c r="H35" s="21">
        <f>(448400/1.18)/1000*$H$5</f>
        <v>380</v>
      </c>
      <c r="I35" s="21">
        <f t="shared" si="1"/>
        <v>380</v>
      </c>
      <c r="J35" s="27" t="s">
        <v>120</v>
      </c>
      <c r="K35" s="34"/>
    </row>
    <row r="36" spans="1:11" ht="57.75" customHeight="1" x14ac:dyDescent="0.2">
      <c r="A36" s="16" t="s">
        <v>123</v>
      </c>
      <c r="B36" s="30" t="s">
        <v>881</v>
      </c>
      <c r="C36" s="255"/>
      <c r="D36" s="173" t="s">
        <v>882</v>
      </c>
      <c r="E36" s="142" t="s">
        <v>171</v>
      </c>
      <c r="F36" s="19" t="s">
        <v>13</v>
      </c>
      <c r="G36" s="19" t="s">
        <v>8</v>
      </c>
      <c r="H36" s="21">
        <f>(2300000)/1000*$H$5</f>
        <v>2300</v>
      </c>
      <c r="I36" s="21">
        <f t="shared" si="1"/>
        <v>2300</v>
      </c>
      <c r="J36" s="27" t="s">
        <v>171</v>
      </c>
      <c r="K36" s="34"/>
    </row>
    <row r="37" spans="1:11" ht="66.75" customHeight="1" x14ac:dyDescent="0.2">
      <c r="A37" s="16" t="s">
        <v>150</v>
      </c>
      <c r="B37" s="30" t="s">
        <v>251</v>
      </c>
      <c r="C37" s="255"/>
      <c r="D37" s="173" t="s">
        <v>883</v>
      </c>
      <c r="E37" s="142" t="s">
        <v>884</v>
      </c>
      <c r="F37" s="19" t="s">
        <v>126</v>
      </c>
      <c r="G37" s="19" t="s">
        <v>127</v>
      </c>
      <c r="H37" s="21">
        <f>(650000)/1000*$H$5</f>
        <v>650</v>
      </c>
      <c r="I37" s="21">
        <f t="shared" si="1"/>
        <v>650</v>
      </c>
      <c r="J37" s="27" t="s">
        <v>121</v>
      </c>
      <c r="K37" s="34"/>
    </row>
    <row r="38" spans="1:11" ht="69" customHeight="1" x14ac:dyDescent="0.2">
      <c r="A38" s="16" t="s">
        <v>151</v>
      </c>
      <c r="B38" s="30" t="s">
        <v>252</v>
      </c>
      <c r="C38" s="255"/>
      <c r="D38" s="173" t="s">
        <v>885</v>
      </c>
      <c r="E38" s="142" t="s">
        <v>884</v>
      </c>
      <c r="F38" s="19" t="s">
        <v>51</v>
      </c>
      <c r="G38" s="19" t="s">
        <v>56</v>
      </c>
      <c r="H38" s="21">
        <f>(2300000)/1000*$H$5</f>
        <v>2300</v>
      </c>
      <c r="I38" s="21">
        <f>H38-(61506)/1000*$H$5</f>
        <v>2238.4940000000001</v>
      </c>
      <c r="J38" s="27" t="s">
        <v>121</v>
      </c>
      <c r="K38" s="34"/>
    </row>
    <row r="39" spans="1:11" ht="69" customHeight="1" x14ac:dyDescent="0.2">
      <c r="A39" s="16" t="s">
        <v>152</v>
      </c>
      <c r="B39" s="30" t="s">
        <v>253</v>
      </c>
      <c r="C39" s="255"/>
      <c r="D39" s="173" t="s">
        <v>886</v>
      </c>
      <c r="E39" s="142" t="s">
        <v>884</v>
      </c>
      <c r="F39" s="19" t="s">
        <v>51</v>
      </c>
      <c r="G39" s="19" t="s">
        <v>124</v>
      </c>
      <c r="H39" s="21">
        <f>(2300000)/1000*$H$5</f>
        <v>2300</v>
      </c>
      <c r="I39" s="21">
        <f t="shared" ref="I39" si="3">H39-(0)/1000*$H$5</f>
        <v>2300</v>
      </c>
      <c r="J39" s="27" t="s">
        <v>172</v>
      </c>
      <c r="K39" s="34"/>
    </row>
    <row r="40" spans="1:11" ht="60" x14ac:dyDescent="0.2">
      <c r="A40" s="16" t="s">
        <v>153</v>
      </c>
      <c r="B40" s="155" t="s">
        <v>890</v>
      </c>
      <c r="C40" s="255"/>
      <c r="D40" s="173" t="s">
        <v>887</v>
      </c>
      <c r="E40" s="142" t="s">
        <v>128</v>
      </c>
      <c r="F40" s="19" t="s">
        <v>124</v>
      </c>
      <c r="G40" s="19" t="s">
        <v>129</v>
      </c>
      <c r="H40" s="21">
        <f>(1416000/1.18)/1000*$H$5</f>
        <v>1200</v>
      </c>
      <c r="I40" s="21">
        <f>H40-(0)/1000*$H$5</f>
        <v>1200</v>
      </c>
      <c r="J40" s="27" t="s">
        <v>128</v>
      </c>
      <c r="K40" s="34"/>
    </row>
    <row r="41" spans="1:11" ht="78" customHeight="1" x14ac:dyDescent="0.2">
      <c r="A41" s="16" t="s">
        <v>154</v>
      </c>
      <c r="B41" s="30" t="s">
        <v>254</v>
      </c>
      <c r="C41" s="255"/>
      <c r="D41" s="173" t="s">
        <v>888</v>
      </c>
      <c r="E41" s="142" t="s">
        <v>130</v>
      </c>
      <c r="F41" s="19" t="s">
        <v>49</v>
      </c>
      <c r="G41" s="19" t="s">
        <v>25</v>
      </c>
      <c r="H41" s="21">
        <f>(4600000)/1000*$H$5</f>
        <v>4600</v>
      </c>
      <c r="I41" s="21">
        <f>H41-(32790)/1000*$H$5</f>
        <v>4567.21</v>
      </c>
      <c r="J41" s="27" t="s">
        <v>130</v>
      </c>
      <c r="K41" s="34"/>
    </row>
    <row r="42" spans="1:11" ht="40.5" customHeight="1" x14ac:dyDescent="0.2">
      <c r="A42" s="16" t="s">
        <v>155</v>
      </c>
      <c r="B42" s="30" t="s">
        <v>255</v>
      </c>
      <c r="C42" s="255"/>
      <c r="D42" s="173" t="s">
        <v>889</v>
      </c>
      <c r="E42" s="142" t="s">
        <v>131</v>
      </c>
      <c r="F42" s="19" t="s">
        <v>56</v>
      </c>
      <c r="G42" s="19" t="s">
        <v>7</v>
      </c>
      <c r="H42" s="21">
        <f>(1896068)/1000*$H$5</f>
        <v>1896.068</v>
      </c>
      <c r="I42" s="21">
        <f>H42-(510000)/1000*$H$5</f>
        <v>1386.068</v>
      </c>
      <c r="J42" s="27" t="s">
        <v>131</v>
      </c>
      <c r="K42" s="34"/>
    </row>
    <row r="43" spans="1:11" ht="66" customHeight="1" x14ac:dyDescent="0.2">
      <c r="A43" s="16" t="s">
        <v>156</v>
      </c>
      <c r="B43" s="155" t="s">
        <v>892</v>
      </c>
      <c r="C43" s="255"/>
      <c r="D43" s="173" t="s">
        <v>894</v>
      </c>
      <c r="E43" s="142" t="s">
        <v>128</v>
      </c>
      <c r="F43" s="19" t="s">
        <v>132</v>
      </c>
      <c r="G43" s="19" t="s">
        <v>14</v>
      </c>
      <c r="H43" s="21">
        <f>(1420000)/1000*$H$5</f>
        <v>1420</v>
      </c>
      <c r="I43" s="21">
        <f t="shared" ref="I43:I83" si="4">H43-(0)/1000*$H$5</f>
        <v>1420</v>
      </c>
      <c r="J43" s="27" t="s">
        <v>128</v>
      </c>
      <c r="K43" s="34"/>
    </row>
    <row r="44" spans="1:11" ht="48" x14ac:dyDescent="0.2">
      <c r="A44" s="16" t="s">
        <v>157</v>
      </c>
      <c r="B44" s="30" t="s">
        <v>895</v>
      </c>
      <c r="C44" s="255"/>
      <c r="D44" s="173" t="s">
        <v>896</v>
      </c>
      <c r="E44" s="142" t="s">
        <v>133</v>
      </c>
      <c r="F44" s="19" t="s">
        <v>4</v>
      </c>
      <c r="G44" s="24" t="s">
        <v>649</v>
      </c>
      <c r="H44" s="21">
        <f>(42143938)/1000*$H$5</f>
        <v>42143.938000000002</v>
      </c>
      <c r="I44" s="21">
        <f>H44-(27790161.6)/1000*$H$5</f>
        <v>14353.776399999999</v>
      </c>
      <c r="J44" s="27" t="s">
        <v>133</v>
      </c>
      <c r="K44" s="34"/>
    </row>
    <row r="45" spans="1:11" ht="60" x14ac:dyDescent="0.2">
      <c r="A45" s="16" t="s">
        <v>158</v>
      </c>
      <c r="B45" s="30" t="s">
        <v>256</v>
      </c>
      <c r="C45" s="255"/>
      <c r="D45" s="173" t="s">
        <v>897</v>
      </c>
      <c r="E45" s="151" t="s">
        <v>134</v>
      </c>
      <c r="F45" s="19" t="s">
        <v>4</v>
      </c>
      <c r="G45" s="19" t="s">
        <v>86</v>
      </c>
      <c r="H45" s="21">
        <f>(5583000)/1000*$H$5</f>
        <v>5583</v>
      </c>
      <c r="I45" s="21">
        <f>H45-(901966)/1000*$H$5</f>
        <v>4681.0339999999997</v>
      </c>
      <c r="J45" s="27" t="s">
        <v>134</v>
      </c>
      <c r="K45" s="34"/>
    </row>
    <row r="46" spans="1:11" ht="48" x14ac:dyDescent="0.2">
      <c r="A46" s="16" t="s">
        <v>159</v>
      </c>
      <c r="B46" s="30" t="s">
        <v>257</v>
      </c>
      <c r="C46" s="255"/>
      <c r="D46" s="173" t="s">
        <v>898</v>
      </c>
      <c r="E46" s="151" t="s">
        <v>135</v>
      </c>
      <c r="F46" s="19" t="s">
        <v>14</v>
      </c>
      <c r="G46" s="19" t="s">
        <v>7</v>
      </c>
      <c r="H46" s="21">
        <f>(7800000)/1000*$H$5</f>
        <v>7800</v>
      </c>
      <c r="I46" s="21">
        <f>H46-(886884)/1000*$H$5</f>
        <v>6913.116</v>
      </c>
      <c r="J46" s="27" t="s">
        <v>135</v>
      </c>
      <c r="K46" s="34"/>
    </row>
    <row r="47" spans="1:11" ht="39.75" customHeight="1" x14ac:dyDescent="0.2">
      <c r="A47" s="16" t="s">
        <v>160</v>
      </c>
      <c r="B47" s="30" t="s">
        <v>258</v>
      </c>
      <c r="C47" s="255"/>
      <c r="D47" s="173" t="s">
        <v>899</v>
      </c>
      <c r="E47" s="151" t="s">
        <v>136</v>
      </c>
      <c r="F47" s="19" t="s">
        <v>58</v>
      </c>
      <c r="G47" s="19" t="s">
        <v>9</v>
      </c>
      <c r="H47" s="21">
        <f>(5200000)/1000*$H$5</f>
        <v>5200</v>
      </c>
      <c r="I47" s="21">
        <f t="shared" si="4"/>
        <v>5200</v>
      </c>
      <c r="J47" s="27" t="s">
        <v>136</v>
      </c>
      <c r="K47" s="34"/>
    </row>
    <row r="48" spans="1:11" ht="40.5" customHeight="1" x14ac:dyDescent="0.2">
      <c r="A48" s="16" t="s">
        <v>161</v>
      </c>
      <c r="B48" s="155" t="s">
        <v>259</v>
      </c>
      <c r="C48" s="255"/>
      <c r="D48" s="173" t="s">
        <v>900</v>
      </c>
      <c r="E48" s="151" t="s">
        <v>128</v>
      </c>
      <c r="F48" s="19" t="s">
        <v>93</v>
      </c>
      <c r="G48" s="19" t="s">
        <v>137</v>
      </c>
      <c r="H48" s="21">
        <f>(700000)/1000*$H$5</f>
        <v>700</v>
      </c>
      <c r="I48" s="21">
        <f>H48-(370000)/1000*$H$5</f>
        <v>330</v>
      </c>
      <c r="J48" s="27" t="s">
        <v>128</v>
      </c>
      <c r="K48" s="34"/>
    </row>
    <row r="49" spans="1:12" ht="60" x14ac:dyDescent="0.2">
      <c r="A49" s="16" t="s">
        <v>162</v>
      </c>
      <c r="B49" s="155" t="s">
        <v>260</v>
      </c>
      <c r="C49" s="255"/>
      <c r="D49" s="173" t="s">
        <v>901</v>
      </c>
      <c r="E49" s="151" t="s">
        <v>128</v>
      </c>
      <c r="F49" s="19" t="s">
        <v>137</v>
      </c>
      <c r="G49" s="19" t="s">
        <v>95</v>
      </c>
      <c r="H49" s="21">
        <f>(1050000)/1000*$H$5</f>
        <v>1050</v>
      </c>
      <c r="I49" s="21">
        <f t="shared" si="4"/>
        <v>1050</v>
      </c>
      <c r="J49" s="27" t="s">
        <v>128</v>
      </c>
      <c r="K49" s="34"/>
    </row>
    <row r="50" spans="1:12" ht="45" customHeight="1" x14ac:dyDescent="0.2">
      <c r="A50" s="16" t="s">
        <v>163</v>
      </c>
      <c r="B50" s="30" t="s">
        <v>902</v>
      </c>
      <c r="C50" s="255"/>
      <c r="D50" s="173" t="s">
        <v>903</v>
      </c>
      <c r="E50" s="116" t="s">
        <v>904</v>
      </c>
      <c r="F50" s="19" t="s">
        <v>91</v>
      </c>
      <c r="G50" s="19" t="s">
        <v>95</v>
      </c>
      <c r="H50" s="21">
        <f>(3066113)/1000*$H$5</f>
        <v>3066.1129999999998</v>
      </c>
      <c r="I50" s="21">
        <f t="shared" si="4"/>
        <v>3066.1129999999998</v>
      </c>
      <c r="J50" s="27" t="s">
        <v>138</v>
      </c>
      <c r="K50" s="34"/>
    </row>
    <row r="51" spans="1:12" ht="50.25" customHeight="1" x14ac:dyDescent="0.2">
      <c r="A51" s="16" t="s">
        <v>164</v>
      </c>
      <c r="B51" s="30" t="s">
        <v>905</v>
      </c>
      <c r="C51" s="255"/>
      <c r="D51" s="173" t="s">
        <v>906</v>
      </c>
      <c r="E51" s="116" t="s">
        <v>144</v>
      </c>
      <c r="F51" s="19" t="s">
        <v>60</v>
      </c>
      <c r="G51" s="19" t="s">
        <v>139</v>
      </c>
      <c r="H51" s="21">
        <f>(5238644)/1000*$H$5</f>
        <v>5238.6440000000002</v>
      </c>
      <c r="I51" s="21">
        <f t="shared" si="4"/>
        <v>5238.6440000000002</v>
      </c>
      <c r="J51" s="27" t="s">
        <v>140</v>
      </c>
      <c r="K51" s="34"/>
    </row>
    <row r="52" spans="1:12" ht="50.25" customHeight="1" x14ac:dyDescent="0.2">
      <c r="A52" s="16" t="s">
        <v>165</v>
      </c>
      <c r="B52" s="30" t="s">
        <v>907</v>
      </c>
      <c r="C52" s="255"/>
      <c r="D52" s="173" t="s">
        <v>908</v>
      </c>
      <c r="E52" s="150" t="s">
        <v>144</v>
      </c>
      <c r="F52" s="19" t="s">
        <v>95</v>
      </c>
      <c r="G52" s="19" t="s">
        <v>9</v>
      </c>
      <c r="H52" s="21">
        <f>(2995000)/1000*$H$5</f>
        <v>2995</v>
      </c>
      <c r="I52" s="21">
        <f t="shared" si="4"/>
        <v>2995</v>
      </c>
      <c r="J52" s="27" t="s">
        <v>140</v>
      </c>
      <c r="K52" s="34"/>
    </row>
    <row r="53" spans="1:12" ht="40.5" customHeight="1" x14ac:dyDescent="0.2">
      <c r="A53" s="16" t="s">
        <v>166</v>
      </c>
      <c r="B53" s="30" t="s">
        <v>263</v>
      </c>
      <c r="C53" s="255"/>
      <c r="D53" s="173" t="s">
        <v>909</v>
      </c>
      <c r="E53" s="151" t="s">
        <v>143</v>
      </c>
      <c r="F53" s="19" t="s">
        <v>141</v>
      </c>
      <c r="G53" s="24" t="s">
        <v>910</v>
      </c>
      <c r="H53" s="21">
        <f>(4930000)/1000*$H$5</f>
        <v>4930</v>
      </c>
      <c r="I53" s="21">
        <f t="shared" si="4"/>
        <v>4930</v>
      </c>
      <c r="J53" s="27" t="s">
        <v>143</v>
      </c>
      <c r="K53" s="34"/>
    </row>
    <row r="54" spans="1:12" ht="72.75" customHeight="1" x14ac:dyDescent="0.2">
      <c r="A54" s="16" t="s">
        <v>167</v>
      </c>
      <c r="B54" s="30" t="s">
        <v>264</v>
      </c>
      <c r="C54" s="255" t="s">
        <v>763</v>
      </c>
      <c r="D54" s="173" t="s">
        <v>914</v>
      </c>
      <c r="E54" s="151" t="s">
        <v>144</v>
      </c>
      <c r="F54" s="19" t="s">
        <v>86</v>
      </c>
      <c r="G54" s="19" t="s">
        <v>95</v>
      </c>
      <c r="H54" s="21">
        <f>(3048480)/1000*$H$5</f>
        <v>3048.48</v>
      </c>
      <c r="I54" s="21">
        <f t="shared" si="4"/>
        <v>3048.48</v>
      </c>
      <c r="J54" s="27" t="s">
        <v>144</v>
      </c>
      <c r="K54" s="34"/>
    </row>
    <row r="55" spans="1:12" ht="93.75" customHeight="1" x14ac:dyDescent="0.2">
      <c r="A55" s="16" t="s">
        <v>168</v>
      </c>
      <c r="B55" s="37" t="s">
        <v>265</v>
      </c>
      <c r="C55" s="255"/>
      <c r="D55" s="173" t="s">
        <v>916</v>
      </c>
      <c r="E55" s="151" t="s">
        <v>143</v>
      </c>
      <c r="F55" s="19" t="s">
        <v>103</v>
      </c>
      <c r="G55" s="24" t="s">
        <v>915</v>
      </c>
      <c r="H55" s="21">
        <f>(3942141)/1000*$H$5</f>
        <v>3942.1410000000001</v>
      </c>
      <c r="I55" s="21">
        <f t="shared" si="4"/>
        <v>3942.1410000000001</v>
      </c>
      <c r="J55" s="40" t="s">
        <v>143</v>
      </c>
      <c r="K55" s="34"/>
    </row>
    <row r="56" spans="1:12" ht="77.25" customHeight="1" x14ac:dyDescent="0.2">
      <c r="A56" s="16" t="s">
        <v>297</v>
      </c>
      <c r="B56" s="51" t="s">
        <v>296</v>
      </c>
      <c r="C56" s="255" t="s">
        <v>650</v>
      </c>
      <c r="D56" s="173" t="s">
        <v>911</v>
      </c>
      <c r="E56" s="151" t="s">
        <v>144</v>
      </c>
      <c r="F56" s="19" t="s">
        <v>13</v>
      </c>
      <c r="G56" s="24" t="s">
        <v>48</v>
      </c>
      <c r="H56" s="21">
        <f>(1397275.21)/1000*$H$5</f>
        <v>1397.27521</v>
      </c>
      <c r="I56" s="21">
        <f t="shared" ref="I56" si="5">H56-(0)/1000*$H$5</f>
        <v>1397.27521</v>
      </c>
      <c r="J56" s="54" t="s">
        <v>144</v>
      </c>
      <c r="K56" s="34"/>
    </row>
    <row r="57" spans="1:12" ht="90" customHeight="1" x14ac:dyDescent="0.2">
      <c r="A57" s="16" t="s">
        <v>306</v>
      </c>
      <c r="B57" s="51" t="s">
        <v>913</v>
      </c>
      <c r="C57" s="256"/>
      <c r="D57" s="173" t="s">
        <v>912</v>
      </c>
      <c r="E57" s="151" t="s">
        <v>144</v>
      </c>
      <c r="F57" s="19" t="s">
        <v>78</v>
      </c>
      <c r="G57" s="24" t="s">
        <v>52</v>
      </c>
      <c r="H57" s="21">
        <f>(1460000)/1000*$H$5</f>
        <v>1460</v>
      </c>
      <c r="I57" s="21">
        <f t="shared" ref="I57" si="6">H57-(0)/1000*$H$5</f>
        <v>1460</v>
      </c>
      <c r="J57" s="54" t="s">
        <v>144</v>
      </c>
      <c r="K57" s="34"/>
    </row>
    <row r="58" spans="1:12" ht="48.75" customHeight="1" x14ac:dyDescent="0.2">
      <c r="A58" s="157" t="s">
        <v>186</v>
      </c>
      <c r="B58" s="153" t="s">
        <v>799</v>
      </c>
      <c r="C58" s="254" t="s">
        <v>333</v>
      </c>
      <c r="D58" s="175"/>
      <c r="E58" s="115"/>
      <c r="F58" s="18"/>
      <c r="G58" s="46"/>
      <c r="H58" s="20"/>
      <c r="I58" s="20"/>
      <c r="J58" s="53"/>
      <c r="K58" s="35"/>
    </row>
    <row r="59" spans="1:12" ht="80.25" customHeight="1" x14ac:dyDescent="0.2">
      <c r="A59" s="16" t="s">
        <v>173</v>
      </c>
      <c r="B59" s="37" t="s">
        <v>919</v>
      </c>
      <c r="C59" s="255"/>
      <c r="D59" s="173" t="s">
        <v>918</v>
      </c>
      <c r="E59" s="156" t="s">
        <v>184</v>
      </c>
      <c r="F59" s="19" t="s">
        <v>25</v>
      </c>
      <c r="G59" s="24" t="s">
        <v>86</v>
      </c>
      <c r="H59" s="21">
        <f>(5990000)/1000*$H$5</f>
        <v>5990</v>
      </c>
      <c r="I59" s="21">
        <f>H59-(2790000)/1000*$H$5</f>
        <v>3200</v>
      </c>
      <c r="J59" s="54" t="s">
        <v>184</v>
      </c>
      <c r="K59" s="34"/>
    </row>
    <row r="60" spans="1:12" ht="72" x14ac:dyDescent="0.2">
      <c r="A60" s="16" t="s">
        <v>187</v>
      </c>
      <c r="B60" s="92" t="s">
        <v>921</v>
      </c>
      <c r="C60" s="255"/>
      <c r="D60" s="173" t="s">
        <v>920</v>
      </c>
      <c r="E60" s="156" t="s">
        <v>185</v>
      </c>
      <c r="F60" s="24" t="s">
        <v>86</v>
      </c>
      <c r="G60" s="24" t="s">
        <v>139</v>
      </c>
      <c r="H60" s="21">
        <f>(6100000)/1000*$H$5</f>
        <v>6100</v>
      </c>
      <c r="I60" s="21">
        <f>H60-(2790)/1000*$H$5</f>
        <v>6097.21</v>
      </c>
      <c r="J60" s="54" t="s">
        <v>185</v>
      </c>
      <c r="K60" s="34"/>
    </row>
    <row r="61" spans="1:12" ht="165.75" customHeight="1" x14ac:dyDescent="0.2">
      <c r="A61" s="17" t="s">
        <v>188</v>
      </c>
      <c r="B61" s="93" t="s">
        <v>922</v>
      </c>
      <c r="C61" s="98" t="s">
        <v>651</v>
      </c>
      <c r="D61" s="174" t="s">
        <v>923</v>
      </c>
      <c r="E61" s="156" t="s">
        <v>185</v>
      </c>
      <c r="F61" s="12" t="s">
        <v>46</v>
      </c>
      <c r="G61" s="55" t="s">
        <v>48</v>
      </c>
      <c r="H61" s="102">
        <f>(22567584.09)/1000*$H$5</f>
        <v>22567.58409</v>
      </c>
      <c r="I61" s="102">
        <f>H61-(1513641+2800000+165000)/1000*$H$5</f>
        <v>18088.943090000001</v>
      </c>
      <c r="J61" s="100" t="s">
        <v>189</v>
      </c>
      <c r="K61" s="32"/>
    </row>
    <row r="62" spans="1:12" ht="52.5" customHeight="1" x14ac:dyDescent="0.2">
      <c r="A62" s="157" t="s">
        <v>190</v>
      </c>
      <c r="B62" s="153" t="s">
        <v>307</v>
      </c>
      <c r="C62" s="254" t="s">
        <v>656</v>
      </c>
      <c r="D62" s="173"/>
      <c r="E62" s="116"/>
      <c r="F62" s="19"/>
      <c r="G62" s="24"/>
      <c r="H62" s="21"/>
      <c r="I62" s="21"/>
      <c r="J62" s="42"/>
      <c r="K62" s="34"/>
    </row>
    <row r="63" spans="1:12" ht="81" customHeight="1" x14ac:dyDescent="0.2">
      <c r="A63" s="16" t="s">
        <v>191</v>
      </c>
      <c r="B63" s="51" t="s">
        <v>924</v>
      </c>
      <c r="C63" s="255"/>
      <c r="D63" s="173" t="s">
        <v>928</v>
      </c>
      <c r="E63" s="156" t="s">
        <v>224</v>
      </c>
      <c r="F63" s="19" t="s">
        <v>223</v>
      </c>
      <c r="G63" s="24" t="s">
        <v>658</v>
      </c>
      <c r="H63" s="21">
        <f>(755098153.19/1.18)/1000*$H$5</f>
        <v>639913.68914406793</v>
      </c>
      <c r="I63" s="21">
        <f>H63-(3069504.4)/1000*$H$5</f>
        <v>636844.18474406796</v>
      </c>
      <c r="J63" s="42" t="s">
        <v>224</v>
      </c>
      <c r="K63" s="34"/>
      <c r="L63" s="1" t="s">
        <v>657</v>
      </c>
    </row>
    <row r="64" spans="1:12" ht="81.75" customHeight="1" x14ac:dyDescent="0.2">
      <c r="A64" s="16" t="s">
        <v>192</v>
      </c>
      <c r="B64" s="44" t="s">
        <v>926</v>
      </c>
      <c r="C64" s="255"/>
      <c r="D64" s="173" t="s">
        <v>927</v>
      </c>
      <c r="E64" s="116" t="s">
        <v>185</v>
      </c>
      <c r="F64" s="19" t="s">
        <v>31</v>
      </c>
      <c r="G64" s="19" t="s">
        <v>11</v>
      </c>
      <c r="H64" s="21">
        <f>(263049495)/1000*$H$5</f>
        <v>263049.495</v>
      </c>
      <c r="I64" s="21">
        <f>H64-(3429672+4392871+1527542)/1000*$H$5</f>
        <v>253699.41</v>
      </c>
      <c r="J64" s="42" t="s">
        <v>225</v>
      </c>
      <c r="K64" s="34"/>
    </row>
    <row r="65" spans="1:12" ht="60" x14ac:dyDescent="0.2">
      <c r="A65" s="16" t="s">
        <v>193</v>
      </c>
      <c r="B65" s="44" t="s">
        <v>226</v>
      </c>
      <c r="C65" s="255"/>
      <c r="D65" s="173" t="s">
        <v>659</v>
      </c>
      <c r="E65" s="116" t="s">
        <v>185</v>
      </c>
      <c r="F65" s="19" t="s">
        <v>227</v>
      </c>
      <c r="G65" s="24" t="s">
        <v>660</v>
      </c>
      <c r="H65" s="21">
        <f>(1073038839.44)/1000*$H$5</f>
        <v>1073038.83944</v>
      </c>
      <c r="I65" s="21">
        <f>H65-(213273640+1475718+31875722+14558003+15523386+31999188+33739055+9912986+24735430)/1000*$H$5</f>
        <v>695945.71143999998</v>
      </c>
      <c r="J65" s="42" t="s">
        <v>185</v>
      </c>
      <c r="K65" s="34"/>
      <c r="L65" s="1" t="s">
        <v>659</v>
      </c>
    </row>
    <row r="66" spans="1:12" ht="48" x14ac:dyDescent="0.2">
      <c r="A66" s="16" t="s">
        <v>194</v>
      </c>
      <c r="B66" s="44" t="s">
        <v>228</v>
      </c>
      <c r="C66" s="255"/>
      <c r="D66" s="173" t="s">
        <v>662</v>
      </c>
      <c r="E66" s="116" t="s">
        <v>185</v>
      </c>
      <c r="F66" s="19" t="s">
        <v>13</v>
      </c>
      <c r="G66" s="24" t="s">
        <v>661</v>
      </c>
      <c r="H66" s="21">
        <f>(580672306.54)/1000*$H$5</f>
        <v>580672.30654000002</v>
      </c>
      <c r="I66" s="21">
        <f>H66-(131445396+7611196+8912693+1312680)/1000*$H$5</f>
        <v>431390.34154000005</v>
      </c>
      <c r="J66" s="42" t="s">
        <v>229</v>
      </c>
      <c r="K66" s="34"/>
      <c r="L66" s="1" t="s">
        <v>662</v>
      </c>
    </row>
    <row r="67" spans="1:12" ht="63.75" customHeight="1" x14ac:dyDescent="0.2">
      <c r="A67" s="16" t="s">
        <v>195</v>
      </c>
      <c r="B67" s="44" t="s">
        <v>929</v>
      </c>
      <c r="C67" s="255"/>
      <c r="D67" s="173" t="s">
        <v>663</v>
      </c>
      <c r="E67" s="116" t="s">
        <v>237</v>
      </c>
      <c r="F67" s="19" t="s">
        <v>61</v>
      </c>
      <c r="G67" s="24" t="s">
        <v>664</v>
      </c>
      <c r="H67" s="21">
        <f>(80521374.83)/1000*$H$5</f>
        <v>80521.374830000001</v>
      </c>
      <c r="I67" s="21">
        <f t="shared" ref="I67" si="7">H67-(0)/1000*$H$5</f>
        <v>80521.374830000001</v>
      </c>
      <c r="J67" s="42" t="s">
        <v>237</v>
      </c>
      <c r="K67" s="34"/>
      <c r="L67" s="1" t="s">
        <v>663</v>
      </c>
    </row>
    <row r="68" spans="1:12" ht="48" x14ac:dyDescent="0.2">
      <c r="A68" s="16" t="s">
        <v>196</v>
      </c>
      <c r="B68" s="44" t="s">
        <v>238</v>
      </c>
      <c r="C68" s="255"/>
      <c r="D68" s="173" t="s">
        <v>665</v>
      </c>
      <c r="E68" s="116" t="s">
        <v>239</v>
      </c>
      <c r="F68" s="19" t="s">
        <v>103</v>
      </c>
      <c r="G68" s="24" t="s">
        <v>666</v>
      </c>
      <c r="H68" s="21">
        <f>(36517483.6/1.18)/1000*$H$5</f>
        <v>30947.020000000004</v>
      </c>
      <c r="I68" s="21">
        <f t="shared" ref="I68" si="8">H68-(0)/1000*$H$5</f>
        <v>30947.020000000004</v>
      </c>
      <c r="J68" s="42" t="s">
        <v>239</v>
      </c>
      <c r="K68" s="34"/>
      <c r="L68" s="1" t="s">
        <v>665</v>
      </c>
    </row>
    <row r="69" spans="1:12" ht="68.25" customHeight="1" x14ac:dyDescent="0.2">
      <c r="A69" s="16" t="s">
        <v>197</v>
      </c>
      <c r="B69" s="155" t="s">
        <v>931</v>
      </c>
      <c r="C69" s="43" t="s">
        <v>234</v>
      </c>
      <c r="D69" s="173" t="s">
        <v>930</v>
      </c>
      <c r="E69" s="92" t="s">
        <v>334</v>
      </c>
      <c r="F69" s="19" t="s">
        <v>35</v>
      </c>
      <c r="G69" s="19" t="s">
        <v>230</v>
      </c>
      <c r="H69" s="21">
        <f>(11102044)/1000*$H$5</f>
        <v>11102.044</v>
      </c>
      <c r="I69" s="21">
        <f t="shared" ref="I69:I81" si="9">H69-(0)/1000*$H$5</f>
        <v>11102.044</v>
      </c>
      <c r="J69" s="42" t="s">
        <v>335</v>
      </c>
      <c r="K69" s="34"/>
    </row>
    <row r="70" spans="1:12" ht="52.5" customHeight="1" x14ac:dyDescent="0.2">
      <c r="A70" s="16" t="s">
        <v>198</v>
      </c>
      <c r="B70" s="155" t="s">
        <v>932</v>
      </c>
      <c r="C70" s="43"/>
      <c r="D70" s="173" t="s">
        <v>933</v>
      </c>
      <c r="E70" s="92" t="s">
        <v>232</v>
      </c>
      <c r="F70" s="19" t="s">
        <v>61</v>
      </c>
      <c r="G70" s="19" t="s">
        <v>61</v>
      </c>
      <c r="H70" s="21">
        <f>(1441492)/1000*$H$5</f>
        <v>1441.492</v>
      </c>
      <c r="I70" s="21">
        <f t="shared" si="9"/>
        <v>1441.492</v>
      </c>
      <c r="J70" s="42" t="s">
        <v>235</v>
      </c>
      <c r="K70" s="34"/>
    </row>
    <row r="71" spans="1:12" ht="36" x14ac:dyDescent="0.2">
      <c r="A71" s="16" t="s">
        <v>199</v>
      </c>
      <c r="B71" s="155" t="s">
        <v>240</v>
      </c>
      <c r="C71" s="43"/>
      <c r="D71" s="173"/>
      <c r="E71" s="92" t="s">
        <v>240</v>
      </c>
      <c r="F71" s="19" t="s">
        <v>62</v>
      </c>
      <c r="G71" s="19" t="s">
        <v>16</v>
      </c>
      <c r="H71" s="21">
        <f>(2545771)/1000*$H$5</f>
        <v>2545.7710000000002</v>
      </c>
      <c r="I71" s="21">
        <f t="shared" si="9"/>
        <v>2545.7710000000002</v>
      </c>
      <c r="J71" s="42" t="s">
        <v>241</v>
      </c>
      <c r="K71" s="34"/>
    </row>
    <row r="72" spans="1:12" ht="144" x14ac:dyDescent="0.2">
      <c r="A72" s="16" t="s">
        <v>200</v>
      </c>
      <c r="B72" s="155" t="s">
        <v>937</v>
      </c>
      <c r="C72" s="42" t="s">
        <v>667</v>
      </c>
      <c r="D72" s="172" t="s">
        <v>938</v>
      </c>
      <c r="E72" s="119" t="s">
        <v>939</v>
      </c>
      <c r="F72" s="19" t="s">
        <v>8</v>
      </c>
      <c r="G72" s="19" t="s">
        <v>9</v>
      </c>
      <c r="H72" s="21">
        <f>(33456472)/1000*$H$5</f>
        <v>33456.472000000002</v>
      </c>
      <c r="I72" s="21">
        <f t="shared" ref="I72" si="10">H72-(0)/1000*$H$5</f>
        <v>33456.472000000002</v>
      </c>
      <c r="J72" s="54" t="s">
        <v>936</v>
      </c>
      <c r="K72" s="34"/>
    </row>
    <row r="73" spans="1:12" ht="132" x14ac:dyDescent="0.2">
      <c r="A73" s="16" t="s">
        <v>201</v>
      </c>
      <c r="B73" s="155" t="s">
        <v>940</v>
      </c>
      <c r="C73" s="73" t="s">
        <v>764</v>
      </c>
      <c r="D73" s="172" t="s">
        <v>546</v>
      </c>
      <c r="E73" s="119" t="s">
        <v>941</v>
      </c>
      <c r="F73" s="19" t="s">
        <v>48</v>
      </c>
      <c r="G73" s="19" t="s">
        <v>9</v>
      </c>
      <c r="H73" s="21">
        <f>(96537111)/1000*$H$5</f>
        <v>96537.111000000004</v>
      </c>
      <c r="I73" s="21">
        <f>H73-(0)/1000*$H$5</f>
        <v>96537.111000000004</v>
      </c>
      <c r="J73" s="73" t="s">
        <v>545</v>
      </c>
      <c r="K73" s="34"/>
      <c r="L73" s="1" t="s">
        <v>546</v>
      </c>
    </row>
    <row r="74" spans="1:12" ht="96" x14ac:dyDescent="0.2">
      <c r="A74" s="16" t="s">
        <v>202</v>
      </c>
      <c r="B74" s="5" t="s">
        <v>942</v>
      </c>
      <c r="C74" s="91" t="s">
        <v>336</v>
      </c>
      <c r="D74" s="173" t="s">
        <v>944</v>
      </c>
      <c r="E74" s="119" t="s">
        <v>943</v>
      </c>
      <c r="F74" s="19" t="s">
        <v>13</v>
      </c>
      <c r="G74" s="19" t="s">
        <v>181</v>
      </c>
      <c r="H74" s="21">
        <f>(28683341.69)/1000*$H$5</f>
        <v>28683.341690000001</v>
      </c>
      <c r="I74" s="21">
        <f>H74-(5640762+8136815)/1000*$H$5</f>
        <v>14905.764690000002</v>
      </c>
      <c r="J74" s="54" t="s">
        <v>34</v>
      </c>
      <c r="K74" s="34"/>
    </row>
    <row r="75" spans="1:12" ht="48" x14ac:dyDescent="0.2">
      <c r="A75" s="16" t="s">
        <v>203</v>
      </c>
      <c r="B75" s="5" t="s">
        <v>945</v>
      </c>
      <c r="C75" s="43" t="s">
        <v>337</v>
      </c>
      <c r="D75" s="173" t="s">
        <v>946</v>
      </c>
      <c r="E75" s="164" t="s">
        <v>294</v>
      </c>
      <c r="F75" s="19" t="s">
        <v>8</v>
      </c>
      <c r="G75" s="19" t="s">
        <v>295</v>
      </c>
      <c r="H75" s="21">
        <f>(2645492)/1000*$H$5</f>
        <v>2645.4920000000002</v>
      </c>
      <c r="I75" s="21">
        <f t="shared" si="9"/>
        <v>2645.4920000000002</v>
      </c>
      <c r="J75" s="42" t="s">
        <v>294</v>
      </c>
      <c r="K75" s="34"/>
    </row>
    <row r="76" spans="1:12" ht="80.25" customHeight="1" x14ac:dyDescent="0.2">
      <c r="A76" s="16" t="s">
        <v>204</v>
      </c>
      <c r="B76" s="5" t="s">
        <v>299</v>
      </c>
      <c r="C76" s="50" t="s">
        <v>699</v>
      </c>
      <c r="D76" s="173" t="s">
        <v>950</v>
      </c>
      <c r="E76" s="167" t="s">
        <v>951</v>
      </c>
      <c r="F76" s="19" t="s">
        <v>36</v>
      </c>
      <c r="G76" s="19" t="s">
        <v>37</v>
      </c>
      <c r="H76" s="21">
        <v>8400</v>
      </c>
      <c r="I76" s="21">
        <v>8400</v>
      </c>
      <c r="J76" s="54" t="s">
        <v>38</v>
      </c>
      <c r="K76" s="34"/>
    </row>
    <row r="77" spans="1:12" ht="112.5" customHeight="1" x14ac:dyDescent="0.2">
      <c r="A77" s="16" t="s">
        <v>205</v>
      </c>
      <c r="B77" s="44" t="s">
        <v>23</v>
      </c>
      <c r="C77" s="43" t="s">
        <v>10</v>
      </c>
      <c r="D77" s="173" t="s">
        <v>947</v>
      </c>
      <c r="E77" s="167" t="s">
        <v>948</v>
      </c>
      <c r="F77" s="19" t="s">
        <v>12</v>
      </c>
      <c r="G77" s="19" t="s">
        <v>25</v>
      </c>
      <c r="H77" s="21">
        <f>(6953730.8)/1000*$H$5</f>
        <v>6953.7307999999994</v>
      </c>
      <c r="I77" s="21">
        <f t="shared" ref="I77" si="11">H77-(0)/1000*$H$5</f>
        <v>6953.7307999999994</v>
      </c>
      <c r="J77" s="42" t="s">
        <v>948</v>
      </c>
      <c r="K77" s="34"/>
      <c r="L77" s="1" t="s">
        <v>947</v>
      </c>
    </row>
    <row r="78" spans="1:12" ht="67.5" customHeight="1" x14ac:dyDescent="0.2">
      <c r="A78" s="16" t="s">
        <v>206</v>
      </c>
      <c r="B78" s="44" t="s">
        <v>300</v>
      </c>
      <c r="C78" s="43" t="s">
        <v>302</v>
      </c>
      <c r="D78" s="173" t="s">
        <v>952</v>
      </c>
      <c r="E78" s="167" t="s">
        <v>301</v>
      </c>
      <c r="F78" s="19" t="s">
        <v>5</v>
      </c>
      <c r="G78" s="19" t="s">
        <v>7</v>
      </c>
      <c r="H78" s="21">
        <f>(3599389.4/1.18)/1000*$H$5</f>
        <v>3050.33</v>
      </c>
      <c r="I78" s="21">
        <f t="shared" si="9"/>
        <v>3050.33</v>
      </c>
      <c r="J78" s="42" t="s">
        <v>301</v>
      </c>
      <c r="K78" s="34"/>
    </row>
    <row r="79" spans="1:12" ht="82.5" customHeight="1" x14ac:dyDescent="0.2">
      <c r="A79" s="16" t="s">
        <v>207</v>
      </c>
      <c r="B79" s="44" t="s">
        <v>303</v>
      </c>
      <c r="C79" s="43" t="s">
        <v>305</v>
      </c>
      <c r="D79" s="173" t="s">
        <v>622</v>
      </c>
      <c r="E79" s="167" t="s">
        <v>949</v>
      </c>
      <c r="F79" s="19" t="s">
        <v>139</v>
      </c>
      <c r="G79" s="19" t="s">
        <v>211</v>
      </c>
      <c r="H79" s="21">
        <f>(5412330)/1000*$H$5</f>
        <v>5412.33</v>
      </c>
      <c r="I79" s="21">
        <f t="shared" si="9"/>
        <v>5412.33</v>
      </c>
      <c r="J79" s="42" t="s">
        <v>304</v>
      </c>
      <c r="K79" s="34"/>
      <c r="L79" s="1" t="s">
        <v>622</v>
      </c>
    </row>
    <row r="80" spans="1:12" hidden="1" x14ac:dyDescent="0.2">
      <c r="A80" s="16"/>
      <c r="B80" s="44"/>
      <c r="C80" s="43"/>
      <c r="D80" s="173"/>
      <c r="E80" s="116"/>
      <c r="F80" s="19"/>
      <c r="G80" s="24"/>
      <c r="H80" s="13">
        <f t="shared" ref="H80:H81" si="12">(0)/1000*$H$5</f>
        <v>0</v>
      </c>
      <c r="I80" s="13">
        <f t="shared" si="9"/>
        <v>0</v>
      </c>
      <c r="J80" s="42"/>
      <c r="K80" s="34"/>
    </row>
    <row r="81" spans="1:11" hidden="1" x14ac:dyDescent="0.2">
      <c r="A81" s="16"/>
      <c r="B81" s="44"/>
      <c r="C81" s="43"/>
      <c r="D81" s="173"/>
      <c r="E81" s="116"/>
      <c r="F81" s="19"/>
      <c r="G81" s="24"/>
      <c r="H81" s="13">
        <f t="shared" si="12"/>
        <v>0</v>
      </c>
      <c r="I81" s="13">
        <f t="shared" si="9"/>
        <v>0</v>
      </c>
      <c r="J81" s="42"/>
      <c r="K81" s="34"/>
    </row>
    <row r="82" spans="1:11" s="60" customFormat="1" ht="84" x14ac:dyDescent="0.2">
      <c r="A82" s="163" t="s">
        <v>934</v>
      </c>
      <c r="B82" s="57" t="s">
        <v>935</v>
      </c>
      <c r="C82" s="162" t="s">
        <v>234</v>
      </c>
      <c r="D82" s="176" t="s">
        <v>953</v>
      </c>
      <c r="E82" s="58" t="s">
        <v>231</v>
      </c>
      <c r="F82" s="19" t="s">
        <v>101</v>
      </c>
      <c r="G82" s="19" t="s">
        <v>101</v>
      </c>
      <c r="H82" s="21">
        <f>(623681)/1000*$H$5</f>
        <v>623.68100000000004</v>
      </c>
      <c r="I82" s="21">
        <f>H82-(0)/1000*$H$5</f>
        <v>623.68100000000004</v>
      </c>
      <c r="J82" s="58" t="s">
        <v>231</v>
      </c>
      <c r="K82" s="59"/>
    </row>
    <row r="83" spans="1:11" ht="50.25" customHeight="1" x14ac:dyDescent="0.2">
      <c r="A83" s="158" t="s">
        <v>308</v>
      </c>
      <c r="B83" s="153" t="s">
        <v>338</v>
      </c>
      <c r="C83" s="254" t="s">
        <v>169</v>
      </c>
      <c r="D83" s="175"/>
      <c r="E83" s="115"/>
      <c r="F83" s="18"/>
      <c r="G83" s="18"/>
      <c r="H83" s="20">
        <f>(0)/1000*$H$5</f>
        <v>0</v>
      </c>
      <c r="I83" s="20">
        <f t="shared" si="4"/>
        <v>0</v>
      </c>
      <c r="J83" s="39"/>
      <c r="K83" s="35"/>
    </row>
    <row r="84" spans="1:11" ht="36" x14ac:dyDescent="0.2">
      <c r="A84" s="16" t="s">
        <v>213</v>
      </c>
      <c r="B84" s="37" t="s">
        <v>266</v>
      </c>
      <c r="C84" s="255"/>
      <c r="D84" s="173" t="s">
        <v>954</v>
      </c>
      <c r="E84" s="167" t="s">
        <v>128</v>
      </c>
      <c r="F84" s="19" t="s">
        <v>174</v>
      </c>
      <c r="G84" s="19" t="s">
        <v>8</v>
      </c>
      <c r="H84" s="21">
        <f>(1935198.82/1.18)/1000*$H$5</f>
        <v>1639.9990000000003</v>
      </c>
      <c r="I84" s="21">
        <f t="shared" ref="I84:I113" si="13">H84-(0)/1000*$H$5</f>
        <v>1639.9990000000003</v>
      </c>
      <c r="J84" s="40" t="s">
        <v>128</v>
      </c>
      <c r="K84" s="34"/>
    </row>
    <row r="85" spans="1:11" ht="36" x14ac:dyDescent="0.2">
      <c r="A85" s="16" t="s">
        <v>214</v>
      </c>
      <c r="B85" s="37" t="s">
        <v>267</v>
      </c>
      <c r="C85" s="255"/>
      <c r="D85" s="173" t="s">
        <v>955</v>
      </c>
      <c r="E85" s="167" t="s">
        <v>175</v>
      </c>
      <c r="F85" s="19" t="s">
        <v>46</v>
      </c>
      <c r="G85" s="19" t="s">
        <v>126</v>
      </c>
      <c r="H85" s="21">
        <f>(570000)/1000*$H$5</f>
        <v>570</v>
      </c>
      <c r="I85" s="21">
        <f t="shared" si="13"/>
        <v>570</v>
      </c>
      <c r="J85" s="40" t="s">
        <v>175</v>
      </c>
      <c r="K85" s="34"/>
    </row>
    <row r="86" spans="1:11" ht="36" x14ac:dyDescent="0.2">
      <c r="A86" s="16" t="s">
        <v>215</v>
      </c>
      <c r="B86" s="37" t="s">
        <v>268</v>
      </c>
      <c r="C86" s="255"/>
      <c r="D86" s="173" t="s">
        <v>956</v>
      </c>
      <c r="E86" s="167" t="s">
        <v>128</v>
      </c>
      <c r="F86" s="19" t="s">
        <v>176</v>
      </c>
      <c r="G86" s="19" t="s">
        <v>176</v>
      </c>
      <c r="H86" s="21">
        <f>(259600/1.18)/1000*$H$5</f>
        <v>220</v>
      </c>
      <c r="I86" s="21">
        <f t="shared" si="13"/>
        <v>220</v>
      </c>
      <c r="J86" s="40" t="s">
        <v>128</v>
      </c>
      <c r="K86" s="34"/>
    </row>
    <row r="87" spans="1:11" ht="36" x14ac:dyDescent="0.2">
      <c r="A87" s="16" t="s">
        <v>216</v>
      </c>
      <c r="B87" s="37" t="s">
        <v>269</v>
      </c>
      <c r="C87" s="255"/>
      <c r="D87" s="173" t="s">
        <v>957</v>
      </c>
      <c r="E87" s="167" t="s">
        <v>128</v>
      </c>
      <c r="F87" s="19" t="s">
        <v>177</v>
      </c>
      <c r="G87" s="19" t="s">
        <v>177</v>
      </c>
      <c r="H87" s="21">
        <f>(218300/1.18)/1000*$H$5</f>
        <v>185</v>
      </c>
      <c r="I87" s="21">
        <f t="shared" si="13"/>
        <v>185</v>
      </c>
      <c r="J87" s="40" t="s">
        <v>128</v>
      </c>
      <c r="K87" s="34"/>
    </row>
    <row r="88" spans="1:11" ht="62.25" customHeight="1" x14ac:dyDescent="0.2">
      <c r="A88" s="16" t="s">
        <v>217</v>
      </c>
      <c r="B88" s="37" t="s">
        <v>270</v>
      </c>
      <c r="C88" s="255"/>
      <c r="D88" s="173" t="s">
        <v>958</v>
      </c>
      <c r="E88" s="167" t="s">
        <v>175</v>
      </c>
      <c r="F88" s="19" t="s">
        <v>177</v>
      </c>
      <c r="G88" s="19" t="s">
        <v>54</v>
      </c>
      <c r="H88" s="21">
        <f>(390000)/1000*$H$5</f>
        <v>390</v>
      </c>
      <c r="I88" s="21">
        <f t="shared" si="13"/>
        <v>390</v>
      </c>
      <c r="J88" s="40" t="s">
        <v>175</v>
      </c>
      <c r="K88" s="34"/>
    </row>
    <row r="89" spans="1:11" ht="45" x14ac:dyDescent="0.2">
      <c r="A89" s="16" t="s">
        <v>309</v>
      </c>
      <c r="B89" s="37" t="s">
        <v>271</v>
      </c>
      <c r="C89" s="255"/>
      <c r="D89" s="173" t="s">
        <v>959</v>
      </c>
      <c r="E89" s="167" t="s">
        <v>178</v>
      </c>
      <c r="F89" s="19" t="s">
        <v>12</v>
      </c>
      <c r="G89" s="19" t="s">
        <v>12</v>
      </c>
      <c r="H89" s="21">
        <f>(279660/1.18)/1000*$H$5</f>
        <v>237</v>
      </c>
      <c r="I89" s="21">
        <f t="shared" si="13"/>
        <v>237</v>
      </c>
      <c r="J89" s="40" t="s">
        <v>178</v>
      </c>
      <c r="K89" s="34"/>
    </row>
    <row r="90" spans="1:11" ht="45" x14ac:dyDescent="0.2">
      <c r="A90" s="16" t="s">
        <v>310</v>
      </c>
      <c r="B90" s="37" t="s">
        <v>272</v>
      </c>
      <c r="C90" s="255"/>
      <c r="D90" s="173" t="s">
        <v>960</v>
      </c>
      <c r="E90" s="167" t="s">
        <v>178</v>
      </c>
      <c r="F90" s="19" t="s">
        <v>179</v>
      </c>
      <c r="G90" s="19" t="s">
        <v>52</v>
      </c>
      <c r="H90" s="21">
        <f>(731598.82/1.18)/1000*$H$5</f>
        <v>619.99900000000002</v>
      </c>
      <c r="I90" s="21">
        <f t="shared" si="13"/>
        <v>619.99900000000002</v>
      </c>
      <c r="J90" s="40" t="s">
        <v>178</v>
      </c>
      <c r="K90" s="34"/>
    </row>
    <row r="91" spans="1:11" ht="45" x14ac:dyDescent="0.2">
      <c r="A91" s="16" t="s">
        <v>311</v>
      </c>
      <c r="B91" s="37" t="s">
        <v>273</v>
      </c>
      <c r="C91" s="255"/>
      <c r="D91" s="173" t="s">
        <v>961</v>
      </c>
      <c r="E91" s="167" t="s">
        <v>180</v>
      </c>
      <c r="F91" s="19" t="s">
        <v>181</v>
      </c>
      <c r="G91" s="19" t="s">
        <v>51</v>
      </c>
      <c r="H91" s="21">
        <f>(70800/1.18)/1000*$H$5</f>
        <v>60</v>
      </c>
      <c r="I91" s="21">
        <f t="shared" si="13"/>
        <v>60</v>
      </c>
      <c r="J91" s="40" t="s">
        <v>180</v>
      </c>
      <c r="K91" s="34"/>
    </row>
    <row r="92" spans="1:11" ht="60" x14ac:dyDescent="0.2">
      <c r="A92" s="16" t="s">
        <v>312</v>
      </c>
      <c r="B92" s="37" t="s">
        <v>274</v>
      </c>
      <c r="C92" s="255"/>
      <c r="D92" s="173" t="s">
        <v>962</v>
      </c>
      <c r="E92" s="167" t="s">
        <v>178</v>
      </c>
      <c r="F92" s="19" t="s">
        <v>56</v>
      </c>
      <c r="G92" s="19" t="s">
        <v>129</v>
      </c>
      <c r="H92" s="21">
        <f>(300000)/1000*$H$5</f>
        <v>300</v>
      </c>
      <c r="I92" s="21">
        <f t="shared" si="13"/>
        <v>300</v>
      </c>
      <c r="J92" s="40" t="s">
        <v>178</v>
      </c>
      <c r="K92" s="34"/>
    </row>
    <row r="93" spans="1:11" ht="60" x14ac:dyDescent="0.2">
      <c r="A93" s="16" t="s">
        <v>313</v>
      </c>
      <c r="B93" s="37" t="s">
        <v>275</v>
      </c>
      <c r="C93" s="255"/>
      <c r="D93" s="173" t="s">
        <v>963</v>
      </c>
      <c r="E93" s="167" t="s">
        <v>175</v>
      </c>
      <c r="F93" s="19" t="s">
        <v>56</v>
      </c>
      <c r="G93" s="19" t="s">
        <v>52</v>
      </c>
      <c r="H93" s="21">
        <f>(780000)/1000*$H$5</f>
        <v>780</v>
      </c>
      <c r="I93" s="21">
        <f t="shared" si="13"/>
        <v>780</v>
      </c>
      <c r="J93" s="40" t="s">
        <v>175</v>
      </c>
      <c r="K93" s="34"/>
    </row>
    <row r="94" spans="1:11" ht="33.75" x14ac:dyDescent="0.2">
      <c r="A94" s="16" t="s">
        <v>314</v>
      </c>
      <c r="B94" s="92" t="s">
        <v>276</v>
      </c>
      <c r="C94" s="49"/>
      <c r="D94" s="173" t="s">
        <v>964</v>
      </c>
      <c r="E94" s="167" t="s">
        <v>182</v>
      </c>
      <c r="F94" s="19" t="s">
        <v>132</v>
      </c>
      <c r="G94" s="19" t="s">
        <v>7</v>
      </c>
      <c r="H94" s="21">
        <f>(2285000)/1000*$H$5</f>
        <v>2285</v>
      </c>
      <c r="I94" s="21">
        <f t="shared" si="13"/>
        <v>2285</v>
      </c>
      <c r="J94" s="40" t="s">
        <v>182</v>
      </c>
      <c r="K94" s="34"/>
    </row>
    <row r="95" spans="1:11" ht="36" x14ac:dyDescent="0.2">
      <c r="A95" s="16" t="s">
        <v>315</v>
      </c>
      <c r="B95" s="37" t="s">
        <v>277</v>
      </c>
      <c r="C95" s="49"/>
      <c r="D95" s="173" t="s">
        <v>965</v>
      </c>
      <c r="E95" s="167" t="s">
        <v>136</v>
      </c>
      <c r="F95" s="19" t="s">
        <v>4</v>
      </c>
      <c r="G95" s="19" t="s">
        <v>14</v>
      </c>
      <c r="H95" s="21">
        <f>(7400000)/1000*$H$5</f>
        <v>7400</v>
      </c>
      <c r="I95" s="21">
        <f>H95-(3960545+263553)/1000*$H$5</f>
        <v>3175.902</v>
      </c>
      <c r="J95" s="40" t="s">
        <v>136</v>
      </c>
      <c r="K95" s="34"/>
    </row>
    <row r="96" spans="1:11" ht="33.75" x14ac:dyDescent="0.2">
      <c r="A96" s="16" t="s">
        <v>316</v>
      </c>
      <c r="B96" s="37" t="s">
        <v>278</v>
      </c>
      <c r="C96" s="49"/>
      <c r="D96" s="173" t="s">
        <v>966</v>
      </c>
      <c r="E96" s="167" t="s">
        <v>182</v>
      </c>
      <c r="F96" s="19" t="s">
        <v>24</v>
      </c>
      <c r="G96" s="19" t="s">
        <v>95</v>
      </c>
      <c r="H96" s="21">
        <f>(1949000)/1000*$H$5</f>
        <v>1949</v>
      </c>
      <c r="I96" s="21">
        <f t="shared" si="13"/>
        <v>1949</v>
      </c>
      <c r="J96" s="40" t="s">
        <v>182</v>
      </c>
      <c r="K96" s="34"/>
    </row>
    <row r="97" spans="1:11" ht="33.75" x14ac:dyDescent="0.2">
      <c r="A97" s="16" t="s">
        <v>317</v>
      </c>
      <c r="B97" s="37" t="s">
        <v>279</v>
      </c>
      <c r="C97" s="49"/>
      <c r="D97" s="173" t="s">
        <v>967</v>
      </c>
      <c r="E97" s="167" t="s">
        <v>182</v>
      </c>
      <c r="F97" s="19" t="s">
        <v>91</v>
      </c>
      <c r="G97" s="19" t="s">
        <v>93</v>
      </c>
      <c r="H97" s="21">
        <f>(460000)/1000*$H$5</f>
        <v>460</v>
      </c>
      <c r="I97" s="21">
        <f t="shared" si="13"/>
        <v>460</v>
      </c>
      <c r="J97" s="40" t="s">
        <v>182</v>
      </c>
      <c r="K97" s="34"/>
    </row>
    <row r="98" spans="1:11" ht="36" x14ac:dyDescent="0.2">
      <c r="A98" s="16" t="s">
        <v>318</v>
      </c>
      <c r="B98" s="37" t="s">
        <v>280</v>
      </c>
      <c r="C98" s="49"/>
      <c r="D98" s="173" t="s">
        <v>968</v>
      </c>
      <c r="E98" s="167" t="s">
        <v>183</v>
      </c>
      <c r="F98" s="19" t="s">
        <v>137</v>
      </c>
      <c r="G98" s="19" t="s">
        <v>139</v>
      </c>
      <c r="H98" s="21">
        <f>(777278)/1000*$H$5</f>
        <v>777.27800000000002</v>
      </c>
      <c r="I98" s="21">
        <f>H98-(98229)/1000*$H$5</f>
        <v>679.04899999999998</v>
      </c>
      <c r="J98" s="40" t="s">
        <v>183</v>
      </c>
      <c r="K98" s="34"/>
    </row>
    <row r="99" spans="1:11" ht="36" x14ac:dyDescent="0.2">
      <c r="A99" s="16" t="s">
        <v>319</v>
      </c>
      <c r="B99" s="37" t="s">
        <v>281</v>
      </c>
      <c r="C99" s="49"/>
      <c r="D99" s="173" t="s">
        <v>969</v>
      </c>
      <c r="E99" s="167" t="s">
        <v>183</v>
      </c>
      <c r="F99" s="19" t="s">
        <v>137</v>
      </c>
      <c r="G99" s="19" t="s">
        <v>139</v>
      </c>
      <c r="H99" s="21">
        <f>(956000)/1000*$H$5</f>
        <v>956</v>
      </c>
      <c r="I99" s="21">
        <f>H99-(341273)/1000*$H$5</f>
        <v>614.72699999999998</v>
      </c>
      <c r="J99" s="40" t="s">
        <v>183</v>
      </c>
      <c r="K99" s="34"/>
    </row>
    <row r="100" spans="1:11" ht="36" x14ac:dyDescent="0.2">
      <c r="A100" s="16" t="s">
        <v>320</v>
      </c>
      <c r="B100" s="37" t="s">
        <v>282</v>
      </c>
      <c r="C100" s="49"/>
      <c r="D100" s="173" t="s">
        <v>970</v>
      </c>
      <c r="E100" s="167" t="s">
        <v>183</v>
      </c>
      <c r="F100" s="19" t="s">
        <v>137</v>
      </c>
      <c r="G100" s="19" t="s">
        <v>139</v>
      </c>
      <c r="H100" s="21">
        <f>(790000)/1000*$H$5</f>
        <v>790</v>
      </c>
      <c r="I100" s="21">
        <f>H100-(222000)/1000*$H$5</f>
        <v>568</v>
      </c>
      <c r="J100" s="40" t="s">
        <v>183</v>
      </c>
      <c r="K100" s="34"/>
    </row>
    <row r="101" spans="1:11" ht="39" customHeight="1" x14ac:dyDescent="0.2">
      <c r="A101" s="16" t="s">
        <v>321</v>
      </c>
      <c r="B101" s="37" t="s">
        <v>283</v>
      </c>
      <c r="C101" s="49"/>
      <c r="D101" s="173" t="s">
        <v>971</v>
      </c>
      <c r="E101" s="167" t="s">
        <v>182</v>
      </c>
      <c r="F101" s="19" t="s">
        <v>16</v>
      </c>
      <c r="G101" s="19" t="s">
        <v>11</v>
      </c>
      <c r="H101" s="21">
        <f>(333000)/1000*$H$5</f>
        <v>333</v>
      </c>
      <c r="I101" s="21">
        <f t="shared" si="13"/>
        <v>333</v>
      </c>
      <c r="J101" s="40" t="s">
        <v>182</v>
      </c>
      <c r="K101" s="34"/>
    </row>
    <row r="102" spans="1:11" ht="31.5" customHeight="1" x14ac:dyDescent="0.2">
      <c r="A102" s="17" t="s">
        <v>322</v>
      </c>
      <c r="B102" s="93" t="s">
        <v>284</v>
      </c>
      <c r="C102" s="130"/>
      <c r="D102" s="173" t="s">
        <v>972</v>
      </c>
      <c r="E102" s="168" t="s">
        <v>182</v>
      </c>
      <c r="F102" s="12" t="s">
        <v>107</v>
      </c>
      <c r="G102" s="12" t="s">
        <v>11</v>
      </c>
      <c r="H102" s="102">
        <f>(1356000)/1000*$H$5</f>
        <v>1356</v>
      </c>
      <c r="I102" s="102">
        <f t="shared" si="13"/>
        <v>1356</v>
      </c>
      <c r="J102" s="100" t="s">
        <v>182</v>
      </c>
      <c r="K102" s="32"/>
    </row>
    <row r="103" spans="1:11" ht="30.75" customHeight="1" x14ac:dyDescent="0.2">
      <c r="A103" s="157" t="s">
        <v>212</v>
      </c>
      <c r="B103" s="159" t="s">
        <v>285</v>
      </c>
      <c r="C103" s="254" t="s">
        <v>208</v>
      </c>
      <c r="D103" s="175"/>
      <c r="E103" s="115"/>
      <c r="F103" s="18"/>
      <c r="G103" s="18"/>
      <c r="H103" s="20">
        <f t="shared" ref="H103:H111" si="14">(0)/1000*$H$5</f>
        <v>0</v>
      </c>
      <c r="I103" s="20">
        <f t="shared" si="13"/>
        <v>0</v>
      </c>
      <c r="J103" s="39"/>
      <c r="K103" s="35"/>
    </row>
    <row r="104" spans="1:11" ht="36" x14ac:dyDescent="0.2">
      <c r="A104" s="16" t="s">
        <v>323</v>
      </c>
      <c r="B104" s="37" t="s">
        <v>286</v>
      </c>
      <c r="C104" s="255"/>
      <c r="D104" s="173" t="s">
        <v>973</v>
      </c>
      <c r="E104" s="167" t="s">
        <v>210</v>
      </c>
      <c r="F104" s="19" t="s">
        <v>60</v>
      </c>
      <c r="G104" s="19" t="s">
        <v>9</v>
      </c>
      <c r="H104" s="21">
        <f>(2597207)/1000*$H$5</f>
        <v>2597.2069999999999</v>
      </c>
      <c r="I104" s="21">
        <f t="shared" si="13"/>
        <v>2597.2069999999999</v>
      </c>
      <c r="J104" s="40" t="s">
        <v>210</v>
      </c>
      <c r="K104" s="34"/>
    </row>
    <row r="105" spans="1:11" ht="36" x14ac:dyDescent="0.2">
      <c r="A105" s="16" t="s">
        <v>324</v>
      </c>
      <c r="B105" s="37" t="s">
        <v>287</v>
      </c>
      <c r="C105" s="255"/>
      <c r="D105" s="173" t="s">
        <v>974</v>
      </c>
      <c r="E105" s="167" t="s">
        <v>182</v>
      </c>
      <c r="F105" s="19" t="s">
        <v>211</v>
      </c>
      <c r="G105" s="19" t="s">
        <v>11</v>
      </c>
      <c r="H105" s="21">
        <f>(4745324)/1000*$H$5</f>
        <v>4745.3239999999996</v>
      </c>
      <c r="I105" s="21">
        <f t="shared" si="13"/>
        <v>4745.3239999999996</v>
      </c>
      <c r="J105" s="40" t="s">
        <v>182</v>
      </c>
      <c r="K105" s="34"/>
    </row>
    <row r="106" spans="1:11" ht="33.75" x14ac:dyDescent="0.2">
      <c r="A106" s="16" t="s">
        <v>325</v>
      </c>
      <c r="B106" s="37" t="s">
        <v>288</v>
      </c>
      <c r="C106" s="255"/>
      <c r="D106" s="173" t="s">
        <v>975</v>
      </c>
      <c r="E106" s="167" t="s">
        <v>182</v>
      </c>
      <c r="F106" s="19" t="s">
        <v>211</v>
      </c>
      <c r="G106" s="19" t="s">
        <v>11</v>
      </c>
      <c r="H106" s="21">
        <f>(2553018)/1000*$H$5</f>
        <v>2553.018</v>
      </c>
      <c r="I106" s="21">
        <f t="shared" si="13"/>
        <v>2553.018</v>
      </c>
      <c r="J106" s="40" t="s">
        <v>182</v>
      </c>
      <c r="K106" s="34"/>
    </row>
    <row r="107" spans="1:11" ht="48" x14ac:dyDescent="0.2">
      <c r="A107" s="16" t="s">
        <v>326</v>
      </c>
      <c r="B107" s="37" t="s">
        <v>339</v>
      </c>
      <c r="C107" s="255"/>
      <c r="D107" s="173" t="s">
        <v>976</v>
      </c>
      <c r="E107" s="167" t="s">
        <v>182</v>
      </c>
      <c r="F107" s="19" t="s">
        <v>211</v>
      </c>
      <c r="G107" s="19" t="s">
        <v>11</v>
      </c>
      <c r="H107" s="21">
        <f>(500000)/1000*$H$5</f>
        <v>500</v>
      </c>
      <c r="I107" s="21">
        <f t="shared" si="13"/>
        <v>500</v>
      </c>
      <c r="J107" s="40" t="s">
        <v>182</v>
      </c>
      <c r="K107" s="34"/>
    </row>
    <row r="108" spans="1:11" ht="46.5" customHeight="1" x14ac:dyDescent="0.2">
      <c r="A108" s="16" t="s">
        <v>327</v>
      </c>
      <c r="B108" s="37" t="s">
        <v>289</v>
      </c>
      <c r="C108" s="49"/>
      <c r="D108" s="173" t="s">
        <v>977</v>
      </c>
      <c r="E108" s="167" t="s">
        <v>182</v>
      </c>
      <c r="F108" s="19" t="s">
        <v>16</v>
      </c>
      <c r="G108" s="19" t="s">
        <v>107</v>
      </c>
      <c r="H108" s="21">
        <f>(299973)/1000*$H$5</f>
        <v>299.97300000000001</v>
      </c>
      <c r="I108" s="21">
        <f t="shared" si="13"/>
        <v>299.97300000000001</v>
      </c>
      <c r="J108" s="40" t="s">
        <v>182</v>
      </c>
      <c r="K108" s="34"/>
    </row>
    <row r="109" spans="1:11" ht="39.75" customHeight="1" x14ac:dyDescent="0.2">
      <c r="A109" s="157" t="s">
        <v>328</v>
      </c>
      <c r="B109" s="159" t="s">
        <v>291</v>
      </c>
      <c r="C109" s="254" t="s">
        <v>218</v>
      </c>
      <c r="D109" s="175"/>
      <c r="E109" s="115"/>
      <c r="F109" s="18"/>
      <c r="G109" s="18"/>
      <c r="H109" s="20">
        <f t="shared" si="14"/>
        <v>0</v>
      </c>
      <c r="I109" s="20">
        <f t="shared" si="13"/>
        <v>0</v>
      </c>
      <c r="J109" s="39"/>
      <c r="K109" s="35"/>
    </row>
    <row r="110" spans="1:11" ht="60.75" customHeight="1" x14ac:dyDescent="0.2">
      <c r="A110" s="16" t="s">
        <v>329</v>
      </c>
      <c r="B110" s="37" t="s">
        <v>290</v>
      </c>
      <c r="C110" s="256"/>
      <c r="D110" s="174" t="s">
        <v>978</v>
      </c>
      <c r="E110" s="168" t="s">
        <v>669</v>
      </c>
      <c r="F110" s="12" t="s">
        <v>104</v>
      </c>
      <c r="G110" s="63" t="s">
        <v>62</v>
      </c>
      <c r="H110" s="13">
        <f>(485000)/1000*$H$5</f>
        <v>485</v>
      </c>
      <c r="I110" s="13">
        <f t="shared" si="13"/>
        <v>485</v>
      </c>
      <c r="J110" s="40" t="s">
        <v>669</v>
      </c>
      <c r="K110" s="34"/>
    </row>
    <row r="111" spans="1:11" ht="48" customHeight="1" x14ac:dyDescent="0.2">
      <c r="A111" s="160" t="s">
        <v>330</v>
      </c>
      <c r="B111" s="159" t="s">
        <v>342</v>
      </c>
      <c r="C111" s="254" t="s">
        <v>340</v>
      </c>
      <c r="D111" s="173"/>
      <c r="E111" s="116"/>
      <c r="F111" s="19"/>
      <c r="G111" s="19"/>
      <c r="H111" s="21">
        <f t="shared" si="14"/>
        <v>0</v>
      </c>
      <c r="I111" s="21">
        <f t="shared" si="13"/>
        <v>0</v>
      </c>
      <c r="J111" s="39"/>
      <c r="K111" s="35"/>
    </row>
    <row r="112" spans="1:11" ht="52.5" customHeight="1" x14ac:dyDescent="0.2">
      <c r="A112" s="16" t="s">
        <v>331</v>
      </c>
      <c r="B112" s="37" t="s">
        <v>292</v>
      </c>
      <c r="C112" s="255"/>
      <c r="D112" s="173" t="s">
        <v>979</v>
      </c>
      <c r="E112" s="92" t="s">
        <v>292</v>
      </c>
      <c r="F112" s="19" t="s">
        <v>181</v>
      </c>
      <c r="G112" s="19" t="s">
        <v>54</v>
      </c>
      <c r="H112" s="21">
        <f>(689928.84)/1000*$H$5</f>
        <v>689.92883999999992</v>
      </c>
      <c r="I112" s="21">
        <f t="shared" si="13"/>
        <v>689.92883999999992</v>
      </c>
      <c r="J112" s="40" t="s">
        <v>219</v>
      </c>
      <c r="K112" s="34"/>
    </row>
    <row r="113" spans="1:12" ht="36" x14ac:dyDescent="0.2">
      <c r="A113" s="16" t="s">
        <v>332</v>
      </c>
      <c r="B113" s="38" t="s">
        <v>293</v>
      </c>
      <c r="C113" s="255"/>
      <c r="D113" s="174" t="s">
        <v>980</v>
      </c>
      <c r="E113" s="93" t="s">
        <v>292</v>
      </c>
      <c r="F113" s="12" t="s">
        <v>181</v>
      </c>
      <c r="G113" s="12" t="s">
        <v>54</v>
      </c>
      <c r="H113" s="13">
        <f>(669986.7)/1000*$H$5</f>
        <v>669.98669999999993</v>
      </c>
      <c r="I113" s="13">
        <f t="shared" si="13"/>
        <v>669.98669999999993</v>
      </c>
      <c r="J113" s="23" t="s">
        <v>670</v>
      </c>
      <c r="K113" s="32"/>
    </row>
    <row r="114" spans="1:12" ht="42" customHeight="1" x14ac:dyDescent="0.2">
      <c r="A114" s="160" t="s">
        <v>356</v>
      </c>
      <c r="B114" s="161" t="s">
        <v>355</v>
      </c>
      <c r="C114" s="257" t="s">
        <v>361</v>
      </c>
      <c r="D114" s="177"/>
      <c r="E114" s="133"/>
      <c r="F114" s="105"/>
      <c r="G114" s="92"/>
      <c r="H114" s="92"/>
      <c r="I114" s="92"/>
      <c r="J114" s="90"/>
      <c r="K114" s="35"/>
    </row>
    <row r="115" spans="1:12" ht="42" customHeight="1" x14ac:dyDescent="0.2">
      <c r="A115" s="56" t="s">
        <v>357</v>
      </c>
      <c r="B115" s="104" t="s">
        <v>358</v>
      </c>
      <c r="C115" s="258"/>
      <c r="D115" s="177" t="s">
        <v>981</v>
      </c>
      <c r="E115" s="167" t="s">
        <v>368</v>
      </c>
      <c r="F115" s="106" t="s">
        <v>132</v>
      </c>
      <c r="G115" s="19" t="s">
        <v>60</v>
      </c>
      <c r="H115" s="21">
        <f>(13558188)/1000*$H$5</f>
        <v>13558.188</v>
      </c>
      <c r="I115" s="21">
        <f>H115-(469389+1258717+530611+1765439)/1000*$H$5</f>
        <v>9534.0319999999992</v>
      </c>
      <c r="J115" s="91" t="s">
        <v>368</v>
      </c>
      <c r="K115" s="34"/>
      <c r="L115" s="62" t="s">
        <v>369</v>
      </c>
    </row>
    <row r="116" spans="1:12" ht="33" customHeight="1" x14ac:dyDescent="0.2">
      <c r="A116" s="56" t="s">
        <v>360</v>
      </c>
      <c r="B116" s="104" t="s">
        <v>359</v>
      </c>
      <c r="C116" s="258"/>
      <c r="D116" s="177" t="s">
        <v>982</v>
      </c>
      <c r="E116" s="167" t="s">
        <v>371</v>
      </c>
      <c r="F116" s="106" t="s">
        <v>91</v>
      </c>
      <c r="G116" s="19" t="s">
        <v>95</v>
      </c>
      <c r="H116" s="21">
        <f>(2385000)/1000*$H$5</f>
        <v>2385</v>
      </c>
      <c r="I116" s="21">
        <f t="shared" ref="I116" si="15">H116-(0)/1000*$H$5</f>
        <v>2385</v>
      </c>
      <c r="J116" s="19" t="s">
        <v>371</v>
      </c>
      <c r="K116" s="19"/>
      <c r="L116" s="1" t="s">
        <v>370</v>
      </c>
    </row>
    <row r="117" spans="1:12" ht="227.25" customHeight="1" x14ac:dyDescent="0.2">
      <c r="A117" s="75" t="s">
        <v>366</v>
      </c>
      <c r="B117" s="93" t="s">
        <v>365</v>
      </c>
      <c r="C117" s="93" t="s">
        <v>686</v>
      </c>
      <c r="D117" s="178" t="s">
        <v>983</v>
      </c>
      <c r="E117" s="93" t="s">
        <v>498</v>
      </c>
      <c r="F117" s="12" t="s">
        <v>4</v>
      </c>
      <c r="G117" s="12" t="s">
        <v>5</v>
      </c>
      <c r="H117" s="97">
        <f>(10567316+8421143+7072314+700000+6014061)/1000*$H$5</f>
        <v>32774.834000000003</v>
      </c>
      <c r="I117" s="97">
        <f t="shared" ref="I117" si="16">H117-(0)/1000*$H$5</f>
        <v>32774.834000000003</v>
      </c>
      <c r="J117" s="23" t="s">
        <v>536</v>
      </c>
      <c r="K117" s="32"/>
      <c r="L117" s="62" t="s">
        <v>367</v>
      </c>
    </row>
    <row r="118" spans="1:12" ht="96" customHeight="1" x14ac:dyDescent="0.2">
      <c r="A118" s="61" t="s">
        <v>343</v>
      </c>
      <c r="B118" s="92" t="s">
        <v>672</v>
      </c>
      <c r="C118" s="254" t="s">
        <v>671</v>
      </c>
      <c r="D118" s="173" t="s">
        <v>984</v>
      </c>
      <c r="E118" s="168" t="s">
        <v>341</v>
      </c>
      <c r="F118" s="12" t="s">
        <v>126</v>
      </c>
      <c r="G118" s="12" t="s">
        <v>295</v>
      </c>
      <c r="H118" s="13">
        <f>(83139502.68)/1000*$H$5</f>
        <v>83139.502680000005</v>
      </c>
      <c r="I118" s="13">
        <f>H118-(6200000+10529012+8438715+108814)/1000*$H$5</f>
        <v>57862.961680000008</v>
      </c>
      <c r="J118" s="23" t="s">
        <v>341</v>
      </c>
      <c r="K118" s="32"/>
    </row>
    <row r="119" spans="1:12" ht="119.25" customHeight="1" x14ac:dyDescent="0.2">
      <c r="A119" s="17" t="s">
        <v>917</v>
      </c>
      <c r="B119" s="129" t="s">
        <v>344</v>
      </c>
      <c r="C119" s="255"/>
      <c r="D119" s="173" t="s">
        <v>345</v>
      </c>
      <c r="E119" s="168" t="s">
        <v>229</v>
      </c>
      <c r="F119" s="11" t="s">
        <v>176</v>
      </c>
      <c r="G119" s="11" t="s">
        <v>11</v>
      </c>
      <c r="H119" s="102">
        <f>(18470000+6000000+43638688+35800000)/1000*$H$5</f>
        <v>103908.68799999999</v>
      </c>
      <c r="I119" s="102">
        <f>H119-(6226282+584574+1856603+1161147+12527+807520+625000+1980019)/1000*$H$5</f>
        <v>90655.015999999989</v>
      </c>
      <c r="J119" s="2" t="s">
        <v>348</v>
      </c>
      <c r="K119" s="3"/>
      <c r="L119" s="62" t="s">
        <v>345</v>
      </c>
    </row>
    <row r="120" spans="1:12" ht="180" x14ac:dyDescent="0.2">
      <c r="A120" s="17">
        <v>11</v>
      </c>
      <c r="B120" s="2" t="s">
        <v>347</v>
      </c>
      <c r="C120" s="255"/>
      <c r="D120" s="173" t="s">
        <v>350</v>
      </c>
      <c r="E120" s="168" t="s">
        <v>229</v>
      </c>
      <c r="F120" s="11" t="s">
        <v>176</v>
      </c>
      <c r="G120" s="11" t="s">
        <v>9</v>
      </c>
      <c r="H120" s="13">
        <f>(17300000+16253101+2100000+19600000)/1000*$H$5</f>
        <v>55253.101000000002</v>
      </c>
      <c r="I120" s="13">
        <f>H120-(2581571+57053+300000)/1000*$H$5</f>
        <v>52314.476999999999</v>
      </c>
      <c r="J120" s="4" t="s">
        <v>349</v>
      </c>
      <c r="K120" s="3"/>
      <c r="L120" s="62" t="s">
        <v>350</v>
      </c>
    </row>
    <row r="121" spans="1:12" ht="60" x14ac:dyDescent="0.2">
      <c r="A121" s="17" t="s">
        <v>362</v>
      </c>
      <c r="B121" s="31" t="s">
        <v>351</v>
      </c>
      <c r="C121" s="255"/>
      <c r="D121" s="173" t="s">
        <v>353</v>
      </c>
      <c r="E121" s="168" t="s">
        <v>229</v>
      </c>
      <c r="F121" s="11" t="s">
        <v>51</v>
      </c>
      <c r="G121" s="11" t="s">
        <v>52</v>
      </c>
      <c r="H121" s="13">
        <f>(6478556)/1000*$H$5</f>
        <v>6478.5559999999996</v>
      </c>
      <c r="I121" s="13">
        <f>H121-(5170957)/1000*$H$5</f>
        <v>1307.5989999999993</v>
      </c>
      <c r="J121" s="2" t="s">
        <v>352</v>
      </c>
      <c r="K121" s="3"/>
      <c r="L121" s="1" t="s">
        <v>353</v>
      </c>
    </row>
    <row r="122" spans="1:12" ht="48" x14ac:dyDescent="0.2">
      <c r="A122" s="17" t="s">
        <v>363</v>
      </c>
      <c r="B122" s="7" t="s">
        <v>986</v>
      </c>
      <c r="C122" s="255"/>
      <c r="D122" s="173" t="s">
        <v>354</v>
      </c>
      <c r="E122" s="165" t="s">
        <v>985</v>
      </c>
      <c r="F122" s="18" t="s">
        <v>49</v>
      </c>
      <c r="G122" s="18" t="s">
        <v>9</v>
      </c>
      <c r="H122" s="21">
        <f>(24038994+777000)/1000*$H$5</f>
        <v>24815.993999999999</v>
      </c>
      <c r="I122" s="21">
        <f>H122-(2293986+1543444+4453835)/1000*$H$5</f>
        <v>16524.728999999999</v>
      </c>
      <c r="J122" s="66" t="s">
        <v>372</v>
      </c>
      <c r="K122" s="3"/>
      <c r="L122" s="62" t="s">
        <v>354</v>
      </c>
    </row>
    <row r="123" spans="1:12" ht="48" x14ac:dyDescent="0.2">
      <c r="A123" s="17" t="s">
        <v>392</v>
      </c>
      <c r="B123" s="64" t="s">
        <v>801</v>
      </c>
      <c r="C123" s="255"/>
      <c r="D123" s="180" t="s">
        <v>374</v>
      </c>
      <c r="E123" s="71" t="s">
        <v>987</v>
      </c>
      <c r="F123" s="11" t="s">
        <v>124</v>
      </c>
      <c r="G123" s="11" t="s">
        <v>35</v>
      </c>
      <c r="H123" s="111">
        <f>(5116926)/1000*$H$5</f>
        <v>5116.9260000000004</v>
      </c>
      <c r="I123" s="111">
        <f>H123-(199477+243074)/1000*$H$5</f>
        <v>4674.375</v>
      </c>
      <c r="J123" s="66" t="s">
        <v>373</v>
      </c>
      <c r="K123" s="3"/>
      <c r="L123" s="62" t="s">
        <v>374</v>
      </c>
    </row>
    <row r="124" spans="1:12" ht="60" x14ac:dyDescent="0.2">
      <c r="A124" s="17" t="s">
        <v>393</v>
      </c>
      <c r="B124" s="64" t="s">
        <v>802</v>
      </c>
      <c r="C124" s="255"/>
      <c r="D124" s="180" t="s">
        <v>376</v>
      </c>
      <c r="E124" s="71" t="s">
        <v>229</v>
      </c>
      <c r="F124" s="11" t="s">
        <v>132</v>
      </c>
      <c r="G124" s="11" t="s">
        <v>377</v>
      </c>
      <c r="H124" s="111">
        <f>(1730000+1570000)/1000*$H$5</f>
        <v>3300</v>
      </c>
      <c r="I124" s="111">
        <f>H124-(1422391)/1000*$H$5</f>
        <v>1877.6089999999999</v>
      </c>
      <c r="J124" s="66" t="s">
        <v>375</v>
      </c>
      <c r="K124" s="3"/>
      <c r="L124" s="62" t="s">
        <v>376</v>
      </c>
    </row>
    <row r="125" spans="1:12" ht="48" x14ac:dyDescent="0.2">
      <c r="A125" s="17" t="s">
        <v>394</v>
      </c>
      <c r="B125" s="64" t="s">
        <v>379</v>
      </c>
      <c r="C125" s="255"/>
      <c r="D125" s="180" t="s">
        <v>380</v>
      </c>
      <c r="E125" s="71" t="s">
        <v>378</v>
      </c>
      <c r="F125" s="11" t="s">
        <v>14</v>
      </c>
      <c r="G125" s="11" t="s">
        <v>7</v>
      </c>
      <c r="H125" s="111">
        <f>(990000)/1000*$H$5</f>
        <v>990</v>
      </c>
      <c r="I125" s="111">
        <f>H125-(0)/1000*$H$5</f>
        <v>990</v>
      </c>
      <c r="J125" s="66" t="s">
        <v>378</v>
      </c>
      <c r="K125" s="3"/>
      <c r="L125" s="62" t="s">
        <v>380</v>
      </c>
    </row>
    <row r="126" spans="1:12" ht="84" x14ac:dyDescent="0.2">
      <c r="A126" s="17" t="s">
        <v>395</v>
      </c>
      <c r="B126" s="64" t="s">
        <v>381</v>
      </c>
      <c r="C126" s="255"/>
      <c r="D126" s="180" t="s">
        <v>383</v>
      </c>
      <c r="E126" s="71" t="s">
        <v>988</v>
      </c>
      <c r="F126" s="11" t="s">
        <v>24</v>
      </c>
      <c r="G126" s="11" t="s">
        <v>11</v>
      </c>
      <c r="H126" s="111">
        <f>(1430000)/1000*$H$5</f>
        <v>1430</v>
      </c>
      <c r="I126" s="111">
        <f>H126-(0)/1000*$H$5</f>
        <v>1430</v>
      </c>
      <c r="J126" s="66" t="s">
        <v>382</v>
      </c>
      <c r="K126" s="3"/>
      <c r="L126" s="68" t="s">
        <v>383</v>
      </c>
    </row>
    <row r="127" spans="1:12" ht="72" x14ac:dyDescent="0.2">
      <c r="A127" s="17" t="s">
        <v>396</v>
      </c>
      <c r="B127" s="64" t="s">
        <v>674</v>
      </c>
      <c r="C127" s="255"/>
      <c r="D127" s="180" t="s">
        <v>990</v>
      </c>
      <c r="E127" s="71" t="s">
        <v>989</v>
      </c>
      <c r="F127" s="11" t="s">
        <v>86</v>
      </c>
      <c r="G127" s="11" t="s">
        <v>16</v>
      </c>
      <c r="H127" s="111">
        <f>(1269000+1511338)/1000*$H$5</f>
        <v>2780.3380000000002</v>
      </c>
      <c r="I127" s="111">
        <f>H127-(0)/1000*$H$5</f>
        <v>2780.3380000000002</v>
      </c>
      <c r="J127" s="66" t="s">
        <v>384</v>
      </c>
      <c r="K127" s="3"/>
      <c r="L127" s="69" t="s">
        <v>385</v>
      </c>
    </row>
    <row r="128" spans="1:12" ht="36" x14ac:dyDescent="0.2">
      <c r="A128" s="16" t="s">
        <v>397</v>
      </c>
      <c r="B128" s="64" t="s">
        <v>673</v>
      </c>
      <c r="C128" s="256"/>
      <c r="D128" s="180" t="s">
        <v>387</v>
      </c>
      <c r="E128" s="71" t="s">
        <v>386</v>
      </c>
      <c r="F128" s="11" t="s">
        <v>16</v>
      </c>
      <c r="G128" s="11" t="s">
        <v>15</v>
      </c>
      <c r="H128" s="111">
        <f>(5970000)/1000*$H$5</f>
        <v>5970</v>
      </c>
      <c r="I128" s="111">
        <f>H128-(404688+1840498)/1000*$H$5</f>
        <v>3724.8139999999999</v>
      </c>
      <c r="J128" s="108" t="s">
        <v>386</v>
      </c>
      <c r="K128" s="35"/>
      <c r="L128" s="68" t="s">
        <v>387</v>
      </c>
    </row>
    <row r="129" spans="1:12" ht="39" customHeight="1" x14ac:dyDescent="0.2">
      <c r="A129" s="45" t="s">
        <v>398</v>
      </c>
      <c r="B129" s="94" t="s">
        <v>390</v>
      </c>
      <c r="C129" s="265" t="s">
        <v>402</v>
      </c>
      <c r="D129" s="171"/>
      <c r="E129" s="118"/>
      <c r="F129" s="18"/>
      <c r="G129" s="18"/>
      <c r="H129" s="96"/>
      <c r="I129" s="96"/>
      <c r="J129" s="108"/>
      <c r="K129" s="14"/>
      <c r="L129" s="62"/>
    </row>
    <row r="130" spans="1:12" ht="123" customHeight="1" x14ac:dyDescent="0.2">
      <c r="A130" s="16" t="s">
        <v>399</v>
      </c>
      <c r="B130" s="92" t="s">
        <v>391</v>
      </c>
      <c r="C130" s="266"/>
      <c r="D130" s="172" t="s">
        <v>388</v>
      </c>
      <c r="E130" s="119" t="s">
        <v>991</v>
      </c>
      <c r="F130" s="19" t="s">
        <v>389</v>
      </c>
      <c r="G130" s="19"/>
      <c r="H130" s="21">
        <f>(46178318)/1000*$H$5</f>
        <v>46178.317999999999</v>
      </c>
      <c r="I130" s="21">
        <f>H130-(1471085+2237239+429854+2062761)/1000*$H$5</f>
        <v>39977.379000000001</v>
      </c>
      <c r="J130" s="58" t="s">
        <v>537</v>
      </c>
      <c r="K130" s="15"/>
      <c r="L130" s="62" t="s">
        <v>388</v>
      </c>
    </row>
    <row r="131" spans="1:12" ht="36" customHeight="1" x14ac:dyDescent="0.2">
      <c r="A131" s="17" t="s">
        <v>400</v>
      </c>
      <c r="B131" s="93" t="s">
        <v>404</v>
      </c>
      <c r="C131" s="266"/>
      <c r="D131" s="172" t="s">
        <v>401</v>
      </c>
      <c r="E131" s="58" t="s">
        <v>386</v>
      </c>
      <c r="F131" s="12" t="s">
        <v>177</v>
      </c>
      <c r="G131" s="12" t="s">
        <v>177</v>
      </c>
      <c r="H131" s="97">
        <f>(1750000)/1000*$H$5</f>
        <v>1750</v>
      </c>
      <c r="I131" s="97">
        <f>H131-(0)/1000*$H$5</f>
        <v>1750</v>
      </c>
      <c r="J131" s="109" t="s">
        <v>386</v>
      </c>
      <c r="K131" s="110"/>
      <c r="L131" s="62" t="s">
        <v>401</v>
      </c>
    </row>
    <row r="132" spans="1:12" ht="36" x14ac:dyDescent="0.2">
      <c r="A132" s="17" t="s">
        <v>403</v>
      </c>
      <c r="B132" s="92" t="s">
        <v>407</v>
      </c>
      <c r="C132" s="266"/>
      <c r="D132" s="186" t="s">
        <v>411</v>
      </c>
      <c r="E132" s="2" t="s">
        <v>386</v>
      </c>
      <c r="F132" s="12" t="s">
        <v>126</v>
      </c>
      <c r="G132" s="12" t="s">
        <v>8</v>
      </c>
      <c r="H132" s="13">
        <f>(900000)/1000*$H$5</f>
        <v>900</v>
      </c>
      <c r="I132" s="13">
        <f>H132-(0)/1000*$H$5</f>
        <v>900</v>
      </c>
      <c r="J132" s="109" t="s">
        <v>405</v>
      </c>
      <c r="K132" s="32"/>
      <c r="L132" s="62" t="s">
        <v>411</v>
      </c>
    </row>
    <row r="133" spans="1:12" ht="36" x14ac:dyDescent="0.2">
      <c r="A133" s="17" t="s">
        <v>408</v>
      </c>
      <c r="B133" s="7" t="s">
        <v>406</v>
      </c>
      <c r="C133" s="266"/>
      <c r="D133" s="186" t="s">
        <v>412</v>
      </c>
      <c r="E133" s="2" t="s">
        <v>409</v>
      </c>
      <c r="F133" s="11" t="s">
        <v>410</v>
      </c>
      <c r="G133" s="11" t="s">
        <v>410</v>
      </c>
      <c r="H133" s="13">
        <f>(840000)/1000*$H$5</f>
        <v>840</v>
      </c>
      <c r="I133" s="13">
        <f t="shared" ref="I133:I138" si="17">H133-(0)/1000*$H$5</f>
        <v>840</v>
      </c>
      <c r="J133" s="2" t="s">
        <v>409</v>
      </c>
      <c r="K133" s="3"/>
      <c r="L133" s="1" t="s">
        <v>412</v>
      </c>
    </row>
    <row r="134" spans="1:12" ht="36" x14ac:dyDescent="0.2">
      <c r="A134" s="17" t="s">
        <v>416</v>
      </c>
      <c r="B134" s="7" t="s">
        <v>413</v>
      </c>
      <c r="C134" s="266"/>
      <c r="D134" s="172" t="s">
        <v>425</v>
      </c>
      <c r="E134" s="119" t="s">
        <v>992</v>
      </c>
      <c r="F134" s="11" t="s">
        <v>12</v>
      </c>
      <c r="G134" s="11" t="s">
        <v>52</v>
      </c>
      <c r="H134" s="13">
        <f>(1150000)/1000*$H$5</f>
        <v>1150</v>
      </c>
      <c r="I134" s="13">
        <f t="shared" si="17"/>
        <v>1150</v>
      </c>
      <c r="J134" s="2" t="s">
        <v>414</v>
      </c>
      <c r="K134" s="3"/>
      <c r="L134" s="1" t="s">
        <v>425</v>
      </c>
    </row>
    <row r="135" spans="1:12" ht="36" x14ac:dyDescent="0.2">
      <c r="A135" s="45" t="s">
        <v>417</v>
      </c>
      <c r="B135" s="94" t="s">
        <v>415</v>
      </c>
      <c r="C135" s="266"/>
      <c r="D135" s="172"/>
      <c r="E135" s="119"/>
      <c r="F135" s="18"/>
      <c r="G135" s="18"/>
      <c r="H135" s="96"/>
      <c r="I135" s="96"/>
      <c r="J135" s="108"/>
      <c r="K135" s="14"/>
    </row>
    <row r="136" spans="1:12" ht="33.75" x14ac:dyDescent="0.2">
      <c r="A136" s="16" t="s">
        <v>418</v>
      </c>
      <c r="B136" s="92" t="s">
        <v>419</v>
      </c>
      <c r="C136" s="266"/>
      <c r="D136" s="172" t="s">
        <v>424</v>
      </c>
      <c r="E136" s="119" t="s">
        <v>422</v>
      </c>
      <c r="F136" s="19" t="s">
        <v>12</v>
      </c>
      <c r="G136" s="19" t="s">
        <v>52</v>
      </c>
      <c r="H136" s="21">
        <f>(1291000)/1000*$H$5</f>
        <v>1291</v>
      </c>
      <c r="I136" s="21">
        <f t="shared" si="17"/>
        <v>1291</v>
      </c>
      <c r="J136" s="58" t="s">
        <v>422</v>
      </c>
      <c r="K136" s="15"/>
      <c r="L136" s="1" t="s">
        <v>424</v>
      </c>
    </row>
    <row r="137" spans="1:12" ht="33.75" x14ac:dyDescent="0.2">
      <c r="A137" s="17" t="s">
        <v>421</v>
      </c>
      <c r="B137" s="93" t="s">
        <v>420</v>
      </c>
      <c r="C137" s="266"/>
      <c r="D137" s="172" t="s">
        <v>423</v>
      </c>
      <c r="E137" s="119" t="s">
        <v>422</v>
      </c>
      <c r="F137" s="12" t="s">
        <v>49</v>
      </c>
      <c r="G137" s="12" t="s">
        <v>52</v>
      </c>
      <c r="H137" s="97">
        <f>(1227945)/1000*$H$5</f>
        <v>1227.9449999999999</v>
      </c>
      <c r="I137" s="97">
        <f t="shared" si="17"/>
        <v>1227.9449999999999</v>
      </c>
      <c r="J137" s="109" t="s">
        <v>422</v>
      </c>
      <c r="K137" s="110"/>
      <c r="L137" s="1" t="s">
        <v>423</v>
      </c>
    </row>
    <row r="138" spans="1:12" ht="36" x14ac:dyDescent="0.2">
      <c r="A138" s="17" t="s">
        <v>434</v>
      </c>
      <c r="B138" s="65" t="s">
        <v>426</v>
      </c>
      <c r="C138" s="267"/>
      <c r="D138" s="179" t="s">
        <v>429</v>
      </c>
      <c r="E138" s="120" t="s">
        <v>428</v>
      </c>
      <c r="F138" s="11" t="s">
        <v>427</v>
      </c>
      <c r="G138" s="11" t="s">
        <v>5</v>
      </c>
      <c r="H138" s="13">
        <f>(550000)/1000*$H$5</f>
        <v>550</v>
      </c>
      <c r="I138" s="13">
        <f t="shared" si="17"/>
        <v>550</v>
      </c>
      <c r="J138" s="2" t="s">
        <v>428</v>
      </c>
      <c r="K138" s="3"/>
      <c r="L138" s="1" t="s">
        <v>429</v>
      </c>
    </row>
    <row r="139" spans="1:12" ht="228" x14ac:dyDescent="0.2">
      <c r="A139" s="17">
        <v>26</v>
      </c>
      <c r="B139" s="2" t="s">
        <v>804</v>
      </c>
      <c r="C139" s="265" t="s">
        <v>28</v>
      </c>
      <c r="D139" s="171" t="s">
        <v>994</v>
      </c>
      <c r="E139" s="118" t="s">
        <v>993</v>
      </c>
      <c r="F139" s="18" t="s">
        <v>14</v>
      </c>
      <c r="G139" s="18" t="s">
        <v>11</v>
      </c>
      <c r="H139" s="21">
        <f>(390000000)/1000*$H$5</f>
        <v>390000</v>
      </c>
      <c r="I139" s="13">
        <f>H139-(10473000+2569000+38773249+1655506+4134020+386559+17036387+15325570+15342207+3454876+1477757+74199+980000)/1000*$H$5</f>
        <v>278317.67</v>
      </c>
      <c r="J139" s="2" t="s">
        <v>805</v>
      </c>
      <c r="K139" s="9"/>
    </row>
    <row r="140" spans="1:12" ht="96" x14ac:dyDescent="0.2">
      <c r="A140" s="17" t="s">
        <v>435</v>
      </c>
      <c r="B140" s="67" t="s">
        <v>803</v>
      </c>
      <c r="C140" s="267"/>
      <c r="D140" s="186" t="s">
        <v>995</v>
      </c>
      <c r="E140" s="2" t="s">
        <v>422</v>
      </c>
      <c r="F140" s="11" t="s">
        <v>84</v>
      </c>
      <c r="G140" s="11" t="s">
        <v>7</v>
      </c>
      <c r="H140" s="111">
        <f>(13244584)/1000*$H$5</f>
        <v>13244.584000000001</v>
      </c>
      <c r="I140" s="13">
        <f>H140-(3944931+1927740)/1000*$H$5</f>
        <v>7371.9130000000005</v>
      </c>
      <c r="J140" s="2" t="s">
        <v>430</v>
      </c>
      <c r="K140" s="3"/>
    </row>
    <row r="141" spans="1:12" ht="108" x14ac:dyDescent="0.2">
      <c r="A141" s="17" t="s">
        <v>436</v>
      </c>
      <c r="B141" s="67" t="s">
        <v>432</v>
      </c>
      <c r="C141" s="71" t="s">
        <v>433</v>
      </c>
      <c r="D141" s="180" t="s">
        <v>997</v>
      </c>
      <c r="E141" s="71" t="s">
        <v>996</v>
      </c>
      <c r="F141" s="11" t="s">
        <v>84</v>
      </c>
      <c r="G141" s="11" t="s">
        <v>84</v>
      </c>
      <c r="H141" s="13">
        <f>(500000)/1000*$H$5</f>
        <v>500</v>
      </c>
      <c r="I141" s="13">
        <f t="shared" ref="I141:I144" si="18">H141-(0)/1000*$H$5</f>
        <v>500</v>
      </c>
      <c r="J141" s="2" t="s">
        <v>431</v>
      </c>
      <c r="K141" s="3"/>
    </row>
    <row r="142" spans="1:12" ht="172.5" customHeight="1" x14ac:dyDescent="0.2">
      <c r="A142" s="17" t="s">
        <v>437</v>
      </c>
      <c r="B142" s="94" t="s">
        <v>765</v>
      </c>
      <c r="C142" s="71" t="s">
        <v>652</v>
      </c>
      <c r="D142" s="180" t="s">
        <v>587</v>
      </c>
      <c r="E142" s="71" t="s">
        <v>998</v>
      </c>
      <c r="F142" s="11" t="s">
        <v>14</v>
      </c>
      <c r="G142" s="11" t="s">
        <v>586</v>
      </c>
      <c r="H142" s="97">
        <f>(119096424)/1000*$H$5</f>
        <v>119096.424</v>
      </c>
      <c r="I142" s="97">
        <f>H142-(4720342+9389674+2380253+20611493+1300885+1430964+661059)/1000*$H$5</f>
        <v>78601.754000000001</v>
      </c>
      <c r="J142" s="2" t="s">
        <v>585</v>
      </c>
      <c r="K142" s="3"/>
      <c r="L142" s="1" t="s">
        <v>587</v>
      </c>
    </row>
    <row r="143" spans="1:12" ht="172.5" customHeight="1" x14ac:dyDescent="0.2">
      <c r="A143" s="17" t="s">
        <v>447</v>
      </c>
      <c r="B143" s="94" t="s">
        <v>625</v>
      </c>
      <c r="C143" s="71" t="s">
        <v>653</v>
      </c>
      <c r="D143" s="180" t="s">
        <v>626</v>
      </c>
      <c r="E143" s="71" t="s">
        <v>998</v>
      </c>
      <c r="F143" s="11" t="s">
        <v>95</v>
      </c>
      <c r="G143" s="11" t="s">
        <v>11</v>
      </c>
      <c r="H143" s="97">
        <f>(19671702+1204838+5361278)/1000*$H$5</f>
        <v>26237.817999999999</v>
      </c>
      <c r="I143" s="97">
        <f>H143-(1399023+56345+1515335)/1000*$H$5</f>
        <v>23267.114999999998</v>
      </c>
      <c r="J143" s="2" t="s">
        <v>627</v>
      </c>
      <c r="K143" s="3"/>
      <c r="L143" s="1" t="s">
        <v>626</v>
      </c>
    </row>
    <row r="144" spans="1:12" ht="39.75" customHeight="1" x14ac:dyDescent="0.2">
      <c r="A144" s="45" t="s">
        <v>450</v>
      </c>
      <c r="B144" s="94" t="s">
        <v>677</v>
      </c>
      <c r="C144" s="254" t="s">
        <v>675</v>
      </c>
      <c r="D144" s="175"/>
      <c r="E144" s="115"/>
      <c r="F144" s="18"/>
      <c r="G144" s="18"/>
      <c r="H144" s="96">
        <f t="shared" ref="H144:H180" si="19">(0)/1000*$H$5</f>
        <v>0</v>
      </c>
      <c r="I144" s="96">
        <f t="shared" si="18"/>
        <v>0</v>
      </c>
      <c r="J144" s="108"/>
      <c r="K144" s="14"/>
    </row>
    <row r="145" spans="1:12" ht="33.75" x14ac:dyDescent="0.2">
      <c r="A145" s="16" t="s">
        <v>454</v>
      </c>
      <c r="B145" s="92" t="s">
        <v>438</v>
      </c>
      <c r="C145" s="255"/>
      <c r="D145" s="173" t="s">
        <v>441</v>
      </c>
      <c r="E145" s="116" t="s">
        <v>498</v>
      </c>
      <c r="F145" s="19" t="s">
        <v>439</v>
      </c>
      <c r="G145" s="19" t="s">
        <v>126</v>
      </c>
      <c r="H145" s="21">
        <f>(7168312)/1000*$H$5</f>
        <v>7168.3119999999999</v>
      </c>
      <c r="I145" s="21">
        <f>H145-(803199)/1000*$H$5</f>
        <v>6365.1130000000003</v>
      </c>
      <c r="J145" s="58" t="s">
        <v>438</v>
      </c>
      <c r="K145" s="15"/>
      <c r="L145" s="1" t="s">
        <v>441</v>
      </c>
    </row>
    <row r="146" spans="1:12" ht="72" x14ac:dyDescent="0.2">
      <c r="A146" s="16" t="s">
        <v>455</v>
      </c>
      <c r="B146" s="92" t="s">
        <v>443</v>
      </c>
      <c r="C146" s="255"/>
      <c r="D146" s="173" t="s">
        <v>442</v>
      </c>
      <c r="E146" s="116" t="s">
        <v>498</v>
      </c>
      <c r="F146" s="19" t="s">
        <v>119</v>
      </c>
      <c r="G146" s="19" t="s">
        <v>295</v>
      </c>
      <c r="H146" s="21">
        <f>(14067218)/1000*$H$5</f>
        <v>14067.218000000001</v>
      </c>
      <c r="I146" s="21">
        <f>H146-(0)/1000*$H$5</f>
        <v>14067.218000000001</v>
      </c>
      <c r="J146" s="58" t="s">
        <v>446</v>
      </c>
      <c r="K146" s="15"/>
      <c r="L146" s="1" t="s">
        <v>442</v>
      </c>
    </row>
    <row r="147" spans="1:12" ht="72" x14ac:dyDescent="0.2">
      <c r="A147" s="17" t="s">
        <v>463</v>
      </c>
      <c r="B147" s="93" t="s">
        <v>444</v>
      </c>
      <c r="C147" s="255"/>
      <c r="D147" s="173" t="s">
        <v>440</v>
      </c>
      <c r="E147" s="116" t="s">
        <v>498</v>
      </c>
      <c r="F147" s="19" t="s">
        <v>8</v>
      </c>
      <c r="G147" s="19" t="s">
        <v>56</v>
      </c>
      <c r="H147" s="21">
        <f>(24083149)/1000*$H$5</f>
        <v>24083.149000000001</v>
      </c>
      <c r="I147" s="21">
        <f t="shared" ref="I147:I180" si="20">H147-(0)/1000*$H$5</f>
        <v>24083.149000000001</v>
      </c>
      <c r="J147" s="58" t="s">
        <v>445</v>
      </c>
      <c r="K147" s="15"/>
      <c r="L147" s="1" t="s">
        <v>440</v>
      </c>
    </row>
    <row r="148" spans="1:12" ht="60" x14ac:dyDescent="0.2">
      <c r="A148" s="112" t="s">
        <v>543</v>
      </c>
      <c r="B148" s="4" t="s">
        <v>676</v>
      </c>
      <c r="C148" s="256"/>
      <c r="D148" s="174" t="s">
        <v>448</v>
      </c>
      <c r="E148" s="117" t="s">
        <v>467</v>
      </c>
      <c r="F148" s="11" t="s">
        <v>177</v>
      </c>
      <c r="G148" s="11" t="s">
        <v>48</v>
      </c>
      <c r="H148" s="111">
        <f>(24894319)/1000*$H$5</f>
        <v>24894.319</v>
      </c>
      <c r="I148" s="111">
        <f>H148-(1597047)/1000*$H$5</f>
        <v>23297.272000000001</v>
      </c>
      <c r="J148" s="2" t="s">
        <v>449</v>
      </c>
      <c r="K148" s="3"/>
      <c r="L148" s="1" t="s">
        <v>448</v>
      </c>
    </row>
    <row r="149" spans="1:12" s="60" customFormat="1" ht="112.5" customHeight="1" x14ac:dyDescent="0.2">
      <c r="A149" s="75" t="s">
        <v>552</v>
      </c>
      <c r="B149" s="70" t="s">
        <v>676</v>
      </c>
      <c r="C149" s="76" t="s">
        <v>402</v>
      </c>
      <c r="D149" s="181" t="s">
        <v>1000</v>
      </c>
      <c r="E149" s="122" t="s">
        <v>999</v>
      </c>
      <c r="F149" s="77" t="s">
        <v>124</v>
      </c>
      <c r="G149" s="77" t="s">
        <v>54</v>
      </c>
      <c r="H149" s="13">
        <f>(1490000)/1000*$H$5</f>
        <v>1490</v>
      </c>
      <c r="I149" s="13">
        <f t="shared" ref="I149:I169" si="21">H149-(0)/1000*$H$5</f>
        <v>1490</v>
      </c>
      <c r="J149" s="66" t="s">
        <v>556</v>
      </c>
      <c r="K149" s="78"/>
    </row>
    <row r="150" spans="1:12" s="60" customFormat="1" ht="120" customHeight="1" x14ac:dyDescent="0.2">
      <c r="A150" s="75" t="s">
        <v>678</v>
      </c>
      <c r="B150" s="70" t="s">
        <v>547</v>
      </c>
      <c r="C150" s="251" t="s">
        <v>766</v>
      </c>
      <c r="D150" s="182" t="s">
        <v>551</v>
      </c>
      <c r="E150" s="121" t="s">
        <v>998</v>
      </c>
      <c r="F150" s="261" t="s">
        <v>6</v>
      </c>
      <c r="G150" s="261" t="s">
        <v>7</v>
      </c>
      <c r="H150" s="263">
        <f>(444005270)/1000*$H$5</f>
        <v>444005.27</v>
      </c>
      <c r="I150" s="263">
        <f>H150-(1802298+116204+5445957+4438015+332211+8285705+1361841+6213406+130743)/1000*$H$5</f>
        <v>415878.89</v>
      </c>
      <c r="J150" s="66" t="s">
        <v>26</v>
      </c>
      <c r="K150" s="78"/>
      <c r="L150" s="60" t="s">
        <v>551</v>
      </c>
    </row>
    <row r="151" spans="1:12" s="60" customFormat="1" ht="114.75" customHeight="1" x14ac:dyDescent="0.2">
      <c r="A151" s="75" t="s">
        <v>679</v>
      </c>
      <c r="B151" s="70" t="s">
        <v>548</v>
      </c>
      <c r="C151" s="253"/>
      <c r="D151" s="181"/>
      <c r="E151" s="122"/>
      <c r="F151" s="262"/>
      <c r="G151" s="262"/>
      <c r="H151" s="264"/>
      <c r="I151" s="264"/>
      <c r="J151" s="66" t="s">
        <v>767</v>
      </c>
      <c r="K151" s="78"/>
    </row>
    <row r="152" spans="1:12" s="60" customFormat="1" ht="108" x14ac:dyDescent="0.2">
      <c r="A152" s="75" t="s">
        <v>680</v>
      </c>
      <c r="B152" s="70" t="s">
        <v>1001</v>
      </c>
      <c r="C152" s="81" t="s">
        <v>769</v>
      </c>
      <c r="D152" s="181" t="s">
        <v>581</v>
      </c>
      <c r="E152" s="122" t="s">
        <v>371</v>
      </c>
      <c r="F152" s="82" t="s">
        <v>4</v>
      </c>
      <c r="G152" s="82" t="s">
        <v>24</v>
      </c>
      <c r="H152" s="83">
        <f>(37438795+4559067)/1000*$H$5</f>
        <v>41997.862000000001</v>
      </c>
      <c r="I152" s="83">
        <f t="shared" ref="I152" si="22">H152-(0)/1000*$H$5</f>
        <v>41997.862000000001</v>
      </c>
      <c r="J152" s="66" t="s">
        <v>681</v>
      </c>
      <c r="K152" s="78"/>
      <c r="L152" s="60" t="s">
        <v>581</v>
      </c>
    </row>
    <row r="153" spans="1:12" s="60" customFormat="1" ht="102" customHeight="1" x14ac:dyDescent="0.2">
      <c r="A153" s="75" t="s">
        <v>682</v>
      </c>
      <c r="B153" s="70" t="s">
        <v>557</v>
      </c>
      <c r="C153" s="251" t="s">
        <v>770</v>
      </c>
      <c r="D153" s="182" t="s">
        <v>562</v>
      </c>
      <c r="E153" s="121" t="s">
        <v>558</v>
      </c>
      <c r="F153" s="77" t="s">
        <v>46</v>
      </c>
      <c r="G153" s="77" t="s">
        <v>52</v>
      </c>
      <c r="H153" s="13">
        <f>(12510963+537851)/1000*$H$5</f>
        <v>13048.814</v>
      </c>
      <c r="I153" s="13">
        <f t="shared" ref="I153" si="23">H153-(0)/1000*$H$5</f>
        <v>13048.814</v>
      </c>
      <c r="J153" s="66" t="s">
        <v>558</v>
      </c>
      <c r="K153" s="78"/>
      <c r="L153" s="60" t="s">
        <v>562</v>
      </c>
    </row>
    <row r="154" spans="1:12" s="60" customFormat="1" ht="60" x14ac:dyDescent="0.2">
      <c r="A154" s="75" t="s">
        <v>683</v>
      </c>
      <c r="B154" s="70" t="s">
        <v>579</v>
      </c>
      <c r="C154" s="253"/>
      <c r="D154" s="181" t="s">
        <v>580</v>
      </c>
      <c r="E154" s="122" t="s">
        <v>371</v>
      </c>
      <c r="F154" s="77" t="s">
        <v>488</v>
      </c>
      <c r="G154" s="77" t="s">
        <v>7</v>
      </c>
      <c r="H154" s="97">
        <f>(2281959)/1000*$H$5</f>
        <v>2281.9589999999998</v>
      </c>
      <c r="I154" s="97">
        <f>H154-(0)/1000*$H$5</f>
        <v>2281.9589999999998</v>
      </c>
      <c r="J154" s="66" t="s">
        <v>578</v>
      </c>
      <c r="K154" s="78"/>
      <c r="L154" s="60" t="s">
        <v>580</v>
      </c>
    </row>
    <row r="155" spans="1:12" s="60" customFormat="1" ht="48" x14ac:dyDescent="0.2">
      <c r="A155" s="75" t="s">
        <v>684</v>
      </c>
      <c r="B155" s="70" t="s">
        <v>771</v>
      </c>
      <c r="C155" s="95" t="s">
        <v>632</v>
      </c>
      <c r="D155" s="181" t="s">
        <v>634</v>
      </c>
      <c r="E155" s="122" t="s">
        <v>633</v>
      </c>
      <c r="F155" s="77" t="s">
        <v>101</v>
      </c>
      <c r="G155" s="77" t="s">
        <v>103</v>
      </c>
      <c r="H155" s="97">
        <f>(7649009)/1000*$H$5</f>
        <v>7649.009</v>
      </c>
      <c r="I155" s="97">
        <f>H155-(0)/1000*$H$5</f>
        <v>7649.009</v>
      </c>
      <c r="J155" s="66" t="s">
        <v>633</v>
      </c>
      <c r="K155" s="78"/>
      <c r="L155" s="60" t="s">
        <v>634</v>
      </c>
    </row>
    <row r="156" spans="1:12" s="60" customFormat="1" ht="120" x14ac:dyDescent="0.2">
      <c r="A156" s="112" t="s">
        <v>685</v>
      </c>
      <c r="B156" s="4" t="s">
        <v>559</v>
      </c>
      <c r="C156" s="79" t="s">
        <v>772</v>
      </c>
      <c r="D156" s="181" t="s">
        <v>566</v>
      </c>
      <c r="E156" s="122" t="s">
        <v>1002</v>
      </c>
      <c r="F156" s="77" t="s">
        <v>427</v>
      </c>
      <c r="G156" s="77" t="s">
        <v>7</v>
      </c>
      <c r="H156" s="80">
        <f>(3700000)/1000*$H$5</f>
        <v>3700</v>
      </c>
      <c r="I156" s="80">
        <f>H156-(1300000)/1000*$H$5</f>
        <v>2400</v>
      </c>
      <c r="J156" s="66" t="s">
        <v>570</v>
      </c>
      <c r="K156" s="78"/>
      <c r="L156" s="60" t="s">
        <v>566</v>
      </c>
    </row>
    <row r="157" spans="1:12" s="60" customFormat="1" ht="140.25" customHeight="1" x14ac:dyDescent="0.2">
      <c r="A157" s="75" t="s">
        <v>688</v>
      </c>
      <c r="B157" s="70" t="s">
        <v>559</v>
      </c>
      <c r="C157" s="76" t="s">
        <v>773</v>
      </c>
      <c r="D157" s="181" t="s">
        <v>561</v>
      </c>
      <c r="E157" s="122" t="s">
        <v>1003</v>
      </c>
      <c r="F157" s="77" t="s">
        <v>54</v>
      </c>
      <c r="G157" s="77" t="s">
        <v>52</v>
      </c>
      <c r="H157" s="80">
        <f>(1555540)/1000*$H$5</f>
        <v>1555.54</v>
      </c>
      <c r="I157" s="80">
        <f t="shared" si="21"/>
        <v>1555.54</v>
      </c>
      <c r="J157" s="66" t="s">
        <v>560</v>
      </c>
      <c r="K157" s="78"/>
      <c r="L157" s="60" t="s">
        <v>561</v>
      </c>
    </row>
    <row r="158" spans="1:12" s="60" customFormat="1" ht="168" x14ac:dyDescent="0.2">
      <c r="A158" s="75" t="s">
        <v>689</v>
      </c>
      <c r="B158" s="70" t="s">
        <v>364</v>
      </c>
      <c r="C158" s="85" t="s">
        <v>687</v>
      </c>
      <c r="D158" s="181" t="s">
        <v>592</v>
      </c>
      <c r="E158" s="122" t="s">
        <v>1004</v>
      </c>
      <c r="F158" s="77" t="s">
        <v>124</v>
      </c>
      <c r="G158" s="77" t="s">
        <v>7</v>
      </c>
      <c r="H158" s="86">
        <v>35340.406999999999</v>
      </c>
      <c r="I158" s="86">
        <v>35340.406999999999</v>
      </c>
      <c r="J158" s="66" t="s">
        <v>774</v>
      </c>
      <c r="K158" s="78"/>
      <c r="L158" s="60" t="s">
        <v>592</v>
      </c>
    </row>
    <row r="159" spans="1:12" s="60" customFormat="1" ht="228" x14ac:dyDescent="0.2">
      <c r="A159" s="75" t="s">
        <v>690</v>
      </c>
      <c r="B159" s="70" t="s">
        <v>642</v>
      </c>
      <c r="C159" s="95" t="s">
        <v>654</v>
      </c>
      <c r="D159" s="181" t="s">
        <v>644</v>
      </c>
      <c r="E159" s="122" t="s">
        <v>1005</v>
      </c>
      <c r="F159" s="77" t="s">
        <v>107</v>
      </c>
      <c r="G159" s="77" t="s">
        <v>63</v>
      </c>
      <c r="H159" s="97">
        <f>(21476783)/1000*$H$5</f>
        <v>21476.782999999999</v>
      </c>
      <c r="I159" s="97">
        <f t="shared" ref="I159" si="24">H159-(0)/1000*$H$5</f>
        <v>21476.782999999999</v>
      </c>
      <c r="J159" s="66" t="s">
        <v>643</v>
      </c>
      <c r="K159" s="78"/>
      <c r="L159" s="60" t="s">
        <v>644</v>
      </c>
    </row>
    <row r="160" spans="1:12" s="60" customFormat="1" ht="174" customHeight="1" x14ac:dyDescent="0.2">
      <c r="A160" s="75" t="s">
        <v>691</v>
      </c>
      <c r="B160" s="70" t="s">
        <v>645</v>
      </c>
      <c r="C160" s="95" t="s">
        <v>692</v>
      </c>
      <c r="D160" s="181" t="s">
        <v>1006</v>
      </c>
      <c r="E160" s="122" t="s">
        <v>371</v>
      </c>
      <c r="F160" s="77" t="s">
        <v>16</v>
      </c>
      <c r="G160" s="77" t="s">
        <v>63</v>
      </c>
      <c r="H160" s="97">
        <f>(89000000)/1000*$H$5</f>
        <v>89000</v>
      </c>
      <c r="I160" s="97">
        <f t="shared" ref="I160" si="25">H160-(0)/1000*$H$5</f>
        <v>89000</v>
      </c>
      <c r="J160" s="66" t="s">
        <v>646</v>
      </c>
      <c r="K160" s="78"/>
    </row>
    <row r="161" spans="1:13" s="60" customFormat="1" ht="120" x14ac:dyDescent="0.2">
      <c r="A161" s="75" t="s">
        <v>693</v>
      </c>
      <c r="B161" s="70" t="s">
        <v>582</v>
      </c>
      <c r="C161" s="76" t="s">
        <v>655</v>
      </c>
      <c r="D161" s="181" t="s">
        <v>583</v>
      </c>
      <c r="E161" s="122" t="s">
        <v>584</v>
      </c>
      <c r="F161" s="77" t="s">
        <v>14</v>
      </c>
      <c r="G161" s="77" t="s">
        <v>91</v>
      </c>
      <c r="H161" s="13">
        <f>(2201287+41913)/1000*$H$5</f>
        <v>2243.1999999999998</v>
      </c>
      <c r="I161" s="13">
        <f t="shared" si="21"/>
        <v>2243.1999999999998</v>
      </c>
      <c r="J161" s="66" t="s">
        <v>584</v>
      </c>
      <c r="K161" s="78"/>
      <c r="L161" s="60" t="s">
        <v>583</v>
      </c>
    </row>
    <row r="162" spans="1:13" s="60" customFormat="1" ht="88.5" customHeight="1" x14ac:dyDescent="0.2">
      <c r="A162" s="75" t="s">
        <v>694</v>
      </c>
      <c r="B162" s="70" t="s">
        <v>590</v>
      </c>
      <c r="C162" s="251" t="s">
        <v>775</v>
      </c>
      <c r="D162" s="182" t="s">
        <v>588</v>
      </c>
      <c r="E162" s="121" t="s">
        <v>1007</v>
      </c>
      <c r="F162" s="77" t="s">
        <v>35</v>
      </c>
      <c r="G162" s="77" t="s">
        <v>230</v>
      </c>
      <c r="H162" s="13">
        <f>(3829000-217990)/1000*$H$5</f>
        <v>3611.01</v>
      </c>
      <c r="I162" s="13">
        <f>H162-(262712)/1000*$H$5</f>
        <v>3348.2980000000002</v>
      </c>
      <c r="J162" s="66" t="s">
        <v>776</v>
      </c>
      <c r="K162" s="78"/>
      <c r="L162" s="60" t="s">
        <v>588</v>
      </c>
    </row>
    <row r="163" spans="1:13" s="60" customFormat="1" ht="82.5" customHeight="1" x14ac:dyDescent="0.2">
      <c r="A163" s="75" t="s">
        <v>695</v>
      </c>
      <c r="B163" s="70" t="s">
        <v>777</v>
      </c>
      <c r="C163" s="253"/>
      <c r="D163" s="181" t="s">
        <v>1008</v>
      </c>
      <c r="E163" s="122" t="s">
        <v>1007</v>
      </c>
      <c r="F163" s="77" t="s">
        <v>7</v>
      </c>
      <c r="G163" s="113" t="s">
        <v>91</v>
      </c>
      <c r="H163" s="114">
        <f>(4794400)/1000*$H$5</f>
        <v>4794.3999999999996</v>
      </c>
      <c r="I163" s="114">
        <f t="shared" si="21"/>
        <v>4794.3999999999996</v>
      </c>
      <c r="J163" s="66" t="s">
        <v>591</v>
      </c>
      <c r="K163" s="78"/>
      <c r="L163" s="60" t="s">
        <v>589</v>
      </c>
    </row>
    <row r="164" spans="1:13" s="60" customFormat="1" ht="67.5" customHeight="1" x14ac:dyDescent="0.2">
      <c r="A164" s="75" t="s">
        <v>696</v>
      </c>
      <c r="B164" s="74" t="s">
        <v>778</v>
      </c>
      <c r="C164" s="254" t="s">
        <v>593</v>
      </c>
      <c r="D164" s="175" t="s">
        <v>596</v>
      </c>
      <c r="E164" s="115" t="s">
        <v>595</v>
      </c>
      <c r="F164" s="18" t="s">
        <v>91</v>
      </c>
      <c r="G164" s="18" t="s">
        <v>11</v>
      </c>
      <c r="H164" s="21">
        <f>(643438996)/1000*$H$5</f>
        <v>643438.99600000004</v>
      </c>
      <c r="I164" s="13">
        <f>H164-(323242749+25894212+30130843+582706+506567+6431012+9466678+2847445+3299873+1773039+730584+2798678+4434391+900000+2970163)/1000*$H$5</f>
        <v>227430.05600000004</v>
      </c>
      <c r="J164" s="2" t="s">
        <v>595</v>
      </c>
      <c r="K164" s="3"/>
      <c r="L164" s="60" t="s">
        <v>596</v>
      </c>
    </row>
    <row r="165" spans="1:13" s="60" customFormat="1" ht="93" customHeight="1" x14ac:dyDescent="0.2">
      <c r="A165" s="75" t="s">
        <v>697</v>
      </c>
      <c r="B165" s="87" t="s">
        <v>594</v>
      </c>
      <c r="C165" s="255"/>
      <c r="D165" s="180" t="s">
        <v>597</v>
      </c>
      <c r="E165" s="71" t="s">
        <v>1009</v>
      </c>
      <c r="F165" s="11" t="s">
        <v>211</v>
      </c>
      <c r="G165" s="11" t="s">
        <v>11</v>
      </c>
      <c r="H165" s="111">
        <f>(85900080)/1000*$H$5</f>
        <v>85900.08</v>
      </c>
      <c r="I165" s="86">
        <f>H165-(2220688+614603+606803)/1000*$H$5</f>
        <v>82457.986000000004</v>
      </c>
      <c r="J165" s="2" t="s">
        <v>779</v>
      </c>
      <c r="K165" s="3"/>
      <c r="L165" s="60" t="s">
        <v>597</v>
      </c>
    </row>
    <row r="166" spans="1:13" s="60" customFormat="1" ht="168" x14ac:dyDescent="0.2">
      <c r="A166" s="75" t="s">
        <v>698</v>
      </c>
      <c r="B166" s="87" t="s">
        <v>780</v>
      </c>
      <c r="C166" s="256"/>
      <c r="D166" s="174" t="s">
        <v>1010</v>
      </c>
      <c r="E166" s="71" t="s">
        <v>998</v>
      </c>
      <c r="F166" s="12" t="s">
        <v>11</v>
      </c>
      <c r="G166" s="12" t="s">
        <v>598</v>
      </c>
      <c r="H166" s="86">
        <f>(142758713)/1000*$H$5</f>
        <v>142758.71299999999</v>
      </c>
      <c r="I166" s="86">
        <f>H166-(3974529+2178400+550000+3601754+7356265+501298)/1000*$H$5</f>
        <v>124596.46699999999</v>
      </c>
      <c r="J166" s="84" t="s">
        <v>781</v>
      </c>
      <c r="K166" s="3"/>
    </row>
    <row r="167" spans="1:13" s="60" customFormat="1" ht="69" customHeight="1" x14ac:dyDescent="0.2">
      <c r="A167" s="75" t="s">
        <v>700</v>
      </c>
      <c r="B167" s="70" t="s">
        <v>702</v>
      </c>
      <c r="C167" s="76" t="s">
        <v>701</v>
      </c>
      <c r="D167" s="181" t="s">
        <v>568</v>
      </c>
      <c r="E167" s="122" t="s">
        <v>1011</v>
      </c>
      <c r="F167" s="77" t="s">
        <v>569</v>
      </c>
      <c r="G167" s="77" t="s">
        <v>91</v>
      </c>
      <c r="H167" s="13">
        <f>(18977634)/1000*$H$5</f>
        <v>18977.633999999998</v>
      </c>
      <c r="I167" s="13">
        <f>H167-(9713106)/1000*$H$5</f>
        <v>9264.5279999999984</v>
      </c>
      <c r="J167" s="79" t="s">
        <v>567</v>
      </c>
      <c r="K167" s="78"/>
      <c r="L167" s="60" t="s">
        <v>568</v>
      </c>
    </row>
    <row r="168" spans="1:13" s="60" customFormat="1" ht="72" x14ac:dyDescent="0.2">
      <c r="A168" s="75" t="s">
        <v>704</v>
      </c>
      <c r="B168" s="70" t="s">
        <v>782</v>
      </c>
      <c r="C168" s="76" t="s">
        <v>703</v>
      </c>
      <c r="D168" s="181" t="s">
        <v>614</v>
      </c>
      <c r="E168" s="122" t="s">
        <v>1012</v>
      </c>
      <c r="F168" s="77" t="s">
        <v>95</v>
      </c>
      <c r="G168" s="77" t="s">
        <v>104</v>
      </c>
      <c r="H168" s="13">
        <f>(10466390)/1000*$H$5</f>
        <v>10466.39</v>
      </c>
      <c r="I168" s="13">
        <f t="shared" si="21"/>
        <v>10466.39</v>
      </c>
      <c r="J168" s="66" t="s">
        <v>615</v>
      </c>
      <c r="K168" s="78"/>
      <c r="L168" s="60" t="s">
        <v>614</v>
      </c>
    </row>
    <row r="169" spans="1:13" s="60" customFormat="1" ht="96" x14ac:dyDescent="0.2">
      <c r="A169" s="112" t="s">
        <v>705</v>
      </c>
      <c r="B169" s="4" t="s">
        <v>783</v>
      </c>
      <c r="C169" s="131" t="s">
        <v>629</v>
      </c>
      <c r="D169" s="183" t="s">
        <v>1014</v>
      </c>
      <c r="E169" s="131" t="s">
        <v>1013</v>
      </c>
      <c r="F169" s="77" t="s">
        <v>95</v>
      </c>
      <c r="G169" s="77" t="s">
        <v>21</v>
      </c>
      <c r="H169" s="111">
        <f>(19971733.7)/1000*$H$5</f>
        <v>19971.733700000001</v>
      </c>
      <c r="I169" s="111">
        <f t="shared" si="21"/>
        <v>19971.733700000001</v>
      </c>
      <c r="J169" s="66" t="s">
        <v>631</v>
      </c>
      <c r="K169" s="78"/>
      <c r="L169" s="68" t="s">
        <v>630</v>
      </c>
      <c r="M169" s="60">
        <v>19971733.699999999</v>
      </c>
    </row>
    <row r="170" spans="1:13" s="60" customFormat="1" ht="60" customHeight="1" x14ac:dyDescent="0.2">
      <c r="A170" s="16" t="s">
        <v>706</v>
      </c>
      <c r="B170" s="70" t="s">
        <v>784</v>
      </c>
      <c r="C170" s="251" t="s">
        <v>571</v>
      </c>
      <c r="D170" s="176"/>
      <c r="E170" s="123"/>
      <c r="F170" s="19"/>
      <c r="G170" s="19"/>
      <c r="H170" s="21"/>
      <c r="I170" s="21"/>
      <c r="J170" s="58"/>
      <c r="K170" s="15"/>
    </row>
    <row r="171" spans="1:13" s="60" customFormat="1" ht="38.25" customHeight="1" x14ac:dyDescent="0.2">
      <c r="A171" s="16" t="s">
        <v>707</v>
      </c>
      <c r="B171" s="92" t="s">
        <v>785</v>
      </c>
      <c r="C171" s="252"/>
      <c r="D171" s="176" t="s">
        <v>573</v>
      </c>
      <c r="E171" s="123" t="s">
        <v>1015</v>
      </c>
      <c r="F171" s="19" t="s">
        <v>49</v>
      </c>
      <c r="G171" s="19" t="s">
        <v>7</v>
      </c>
      <c r="H171" s="21">
        <f>(7958431)/1000*$H$5</f>
        <v>7958.4309999999996</v>
      </c>
      <c r="I171" s="21">
        <f t="shared" ref="I171:I175" si="26">H171-(0)/1000*$H$5</f>
        <v>7958.4309999999996</v>
      </c>
      <c r="J171" s="58" t="s">
        <v>572</v>
      </c>
      <c r="K171" s="15"/>
      <c r="L171" s="60" t="s">
        <v>573</v>
      </c>
    </row>
    <row r="172" spans="1:13" s="60" customFormat="1" ht="36" x14ac:dyDescent="0.2">
      <c r="A172" s="16" t="s">
        <v>708</v>
      </c>
      <c r="B172" s="92" t="s">
        <v>574</v>
      </c>
      <c r="C172" s="252"/>
      <c r="D172" s="176" t="s">
        <v>575</v>
      </c>
      <c r="E172" s="123" t="s">
        <v>1016</v>
      </c>
      <c r="F172" s="19" t="s">
        <v>52</v>
      </c>
      <c r="G172" s="19" t="s">
        <v>63</v>
      </c>
      <c r="H172" s="21">
        <f>(201397276)/1000*$H$5</f>
        <v>201397.27600000001</v>
      </c>
      <c r="I172" s="21">
        <f>H172-(2563200+6523166+2974576+382255)/1000*$H$5</f>
        <v>188954.07900000003</v>
      </c>
      <c r="J172" s="58" t="s">
        <v>1017</v>
      </c>
      <c r="K172" s="15"/>
      <c r="L172" s="60" t="s">
        <v>575</v>
      </c>
    </row>
    <row r="173" spans="1:13" s="60" customFormat="1" ht="36" x14ac:dyDescent="0.2">
      <c r="A173" s="16" t="s">
        <v>709</v>
      </c>
      <c r="B173" s="92" t="s">
        <v>576</v>
      </c>
      <c r="C173" s="252"/>
      <c r="D173" s="176" t="s">
        <v>577</v>
      </c>
      <c r="E173" s="123" t="s">
        <v>1028</v>
      </c>
      <c r="F173" s="19" t="s">
        <v>488</v>
      </c>
      <c r="G173" s="19" t="s">
        <v>19</v>
      </c>
      <c r="H173" s="21">
        <f>(17518524)/1000*$H$5</f>
        <v>17518.524000000001</v>
      </c>
      <c r="I173" s="21">
        <f t="shared" si="26"/>
        <v>17518.524000000001</v>
      </c>
      <c r="J173" s="58"/>
      <c r="K173" s="15"/>
      <c r="L173" s="60" t="s">
        <v>577</v>
      </c>
    </row>
    <row r="174" spans="1:13" s="60" customFormat="1" ht="42" customHeight="1" x14ac:dyDescent="0.2">
      <c r="A174" s="16" t="s">
        <v>710</v>
      </c>
      <c r="B174" s="92" t="s">
        <v>599</v>
      </c>
      <c r="C174" s="252"/>
      <c r="D174" s="176" t="s">
        <v>603</v>
      </c>
      <c r="E174" s="123" t="s">
        <v>716</v>
      </c>
      <c r="F174" s="19" t="s">
        <v>7</v>
      </c>
      <c r="G174" s="19" t="s">
        <v>11</v>
      </c>
      <c r="H174" s="21">
        <f>(43708282)/1000*$H$5</f>
        <v>43708.281999999999</v>
      </c>
      <c r="I174" s="21">
        <f t="shared" si="26"/>
        <v>43708.281999999999</v>
      </c>
      <c r="J174" s="58" t="s">
        <v>716</v>
      </c>
      <c r="K174" s="15"/>
      <c r="L174" s="60" t="s">
        <v>603</v>
      </c>
      <c r="M174" s="60">
        <v>43708282</v>
      </c>
    </row>
    <row r="175" spans="1:13" s="60" customFormat="1" ht="38.25" customHeight="1" x14ac:dyDescent="0.2">
      <c r="A175" s="16" t="s">
        <v>711</v>
      </c>
      <c r="B175" s="92" t="s">
        <v>600</v>
      </c>
      <c r="C175" s="252"/>
      <c r="D175" s="176" t="s">
        <v>602</v>
      </c>
      <c r="E175" s="123" t="s">
        <v>1029</v>
      </c>
      <c r="F175" s="19" t="s">
        <v>86</v>
      </c>
      <c r="G175" s="19" t="s">
        <v>511</v>
      </c>
      <c r="H175" s="21">
        <f>(6500000)/1000*$H$5</f>
        <v>6500</v>
      </c>
      <c r="I175" s="21">
        <f t="shared" si="26"/>
        <v>6500</v>
      </c>
      <c r="J175" s="58" t="s">
        <v>601</v>
      </c>
      <c r="K175" s="15"/>
      <c r="L175" s="60" t="s">
        <v>602</v>
      </c>
    </row>
    <row r="176" spans="1:13" s="60" customFormat="1" ht="48" x14ac:dyDescent="0.2">
      <c r="A176" s="16" t="s">
        <v>712</v>
      </c>
      <c r="B176" s="92" t="s">
        <v>604</v>
      </c>
      <c r="C176" s="252"/>
      <c r="D176" s="176" t="s">
        <v>605</v>
      </c>
      <c r="E176" s="123" t="s">
        <v>1030</v>
      </c>
      <c r="F176" s="19" t="s">
        <v>137</v>
      </c>
      <c r="G176" s="19" t="s">
        <v>15</v>
      </c>
      <c r="H176" s="21">
        <f>(35378118)/1000*$H$5</f>
        <v>35378.118000000002</v>
      </c>
      <c r="I176" s="21">
        <f>H176-(3938389+901930+3555281+3476986+654073)/1000*$H$5</f>
        <v>22851.459000000003</v>
      </c>
      <c r="J176" s="58" t="s">
        <v>717</v>
      </c>
      <c r="K176" s="15"/>
      <c r="L176" s="60" t="s">
        <v>605</v>
      </c>
    </row>
    <row r="177" spans="1:12" s="60" customFormat="1" ht="36" x14ac:dyDescent="0.2">
      <c r="A177" s="16" t="s">
        <v>713</v>
      </c>
      <c r="B177" s="92" t="s">
        <v>607</v>
      </c>
      <c r="C177" s="252"/>
      <c r="D177" s="176" t="s">
        <v>608</v>
      </c>
      <c r="E177" s="123" t="s">
        <v>718</v>
      </c>
      <c r="F177" s="19" t="s">
        <v>137</v>
      </c>
      <c r="G177" s="19" t="s">
        <v>606</v>
      </c>
      <c r="H177" s="21">
        <f>(33543354)/1000*$H$5</f>
        <v>33543.353999999999</v>
      </c>
      <c r="I177" s="21">
        <f>H177-(4632327+4377223+2736212)/1000*$H$5</f>
        <v>21797.591999999997</v>
      </c>
      <c r="J177" s="58" t="s">
        <v>718</v>
      </c>
      <c r="K177" s="15"/>
      <c r="L177" s="60" t="s">
        <v>608</v>
      </c>
    </row>
    <row r="178" spans="1:12" s="60" customFormat="1" ht="37.5" customHeight="1" x14ac:dyDescent="0.2">
      <c r="A178" s="16" t="s">
        <v>714</v>
      </c>
      <c r="B178" s="92" t="s">
        <v>607</v>
      </c>
      <c r="C178" s="252"/>
      <c r="D178" s="176" t="s">
        <v>609</v>
      </c>
      <c r="E178" s="123" t="s">
        <v>1031</v>
      </c>
      <c r="F178" s="19" t="s">
        <v>137</v>
      </c>
      <c r="G178" s="19" t="s">
        <v>610</v>
      </c>
      <c r="H178" s="21">
        <f>(20995727)/1000*$H$5</f>
        <v>20995.726999999999</v>
      </c>
      <c r="I178" s="21">
        <f>H178-(11424321)/1000*$H$5</f>
        <v>9571.405999999999</v>
      </c>
      <c r="J178" s="58" t="s">
        <v>719</v>
      </c>
      <c r="K178" s="15"/>
      <c r="L178" s="60" t="s">
        <v>609</v>
      </c>
    </row>
    <row r="179" spans="1:12" s="60" customFormat="1" ht="56.25" customHeight="1" x14ac:dyDescent="0.2">
      <c r="A179" s="75" t="s">
        <v>715</v>
      </c>
      <c r="B179" s="92" t="s">
        <v>611</v>
      </c>
      <c r="C179" s="253"/>
      <c r="D179" s="176" t="s">
        <v>612</v>
      </c>
      <c r="E179" s="123" t="s">
        <v>720</v>
      </c>
      <c r="F179" s="19" t="s">
        <v>95</v>
      </c>
      <c r="G179" s="19" t="s">
        <v>613</v>
      </c>
      <c r="H179" s="21">
        <f>(5000000)/1000*$H$5</f>
        <v>5000</v>
      </c>
      <c r="I179" s="21">
        <f>H179-(1932000)/1000*$H$5</f>
        <v>3068</v>
      </c>
      <c r="J179" s="58" t="s">
        <v>720</v>
      </c>
      <c r="K179" s="15"/>
      <c r="L179" s="60" t="s">
        <v>612</v>
      </c>
    </row>
    <row r="180" spans="1:12" ht="36.75" customHeight="1" x14ac:dyDescent="0.2">
      <c r="A180" s="16" t="s">
        <v>721</v>
      </c>
      <c r="B180" s="70" t="s">
        <v>787</v>
      </c>
      <c r="C180" s="254" t="s">
        <v>789</v>
      </c>
      <c r="D180" s="175"/>
      <c r="E180" s="115"/>
      <c r="F180" s="18"/>
      <c r="G180" s="18"/>
      <c r="H180" s="101">
        <f t="shared" si="19"/>
        <v>0</v>
      </c>
      <c r="I180" s="101">
        <f t="shared" si="20"/>
        <v>0</v>
      </c>
      <c r="J180" s="99"/>
      <c r="K180" s="35"/>
    </row>
    <row r="181" spans="1:12" ht="45" x14ac:dyDescent="0.2">
      <c r="A181" s="16" t="s">
        <v>722</v>
      </c>
      <c r="B181" s="92" t="s">
        <v>788</v>
      </c>
      <c r="C181" s="255"/>
      <c r="D181" s="173" t="s">
        <v>452</v>
      </c>
      <c r="E181" s="116" t="s">
        <v>451</v>
      </c>
      <c r="F181" s="19" t="s">
        <v>176</v>
      </c>
      <c r="G181" s="19" t="s">
        <v>48</v>
      </c>
      <c r="H181" s="21">
        <f>(6900000+4477636)/1000*$H$5</f>
        <v>11377.636</v>
      </c>
      <c r="I181" s="21">
        <f t="shared" ref="I181:I195" si="27">H181-(0)/1000*$H$5</f>
        <v>11377.636</v>
      </c>
      <c r="J181" s="103" t="s">
        <v>451</v>
      </c>
      <c r="K181" s="34"/>
      <c r="L181" s="62" t="s">
        <v>452</v>
      </c>
    </row>
    <row r="182" spans="1:12" ht="54.75" customHeight="1" x14ac:dyDescent="0.2">
      <c r="A182" s="16" t="s">
        <v>723</v>
      </c>
      <c r="B182" s="92" t="s">
        <v>453</v>
      </c>
      <c r="C182" s="255"/>
      <c r="D182" s="173" t="s">
        <v>456</v>
      </c>
      <c r="E182" s="116" t="s">
        <v>498</v>
      </c>
      <c r="F182" s="19" t="s">
        <v>176</v>
      </c>
      <c r="G182" s="19" t="s">
        <v>181</v>
      </c>
      <c r="H182" s="21">
        <f>(11864407)/1000*$H$5</f>
        <v>11864.406999999999</v>
      </c>
      <c r="I182" s="21">
        <f t="shared" si="27"/>
        <v>11864.406999999999</v>
      </c>
      <c r="J182" s="91" t="s">
        <v>538</v>
      </c>
      <c r="K182" s="34"/>
      <c r="L182" s="1" t="s">
        <v>456</v>
      </c>
    </row>
    <row r="183" spans="1:12" ht="36" x14ac:dyDescent="0.2">
      <c r="A183" s="16" t="s">
        <v>724</v>
      </c>
      <c r="B183" s="92" t="s">
        <v>457</v>
      </c>
      <c r="C183" s="255"/>
      <c r="D183" s="173" t="s">
        <v>460</v>
      </c>
      <c r="E183" s="116" t="s">
        <v>466</v>
      </c>
      <c r="F183" s="19" t="s">
        <v>295</v>
      </c>
      <c r="G183" s="24" t="s">
        <v>48</v>
      </c>
      <c r="H183" s="21">
        <f>(2633979.11)/1000*$H$5</f>
        <v>2633.9791099999998</v>
      </c>
      <c r="I183" s="21">
        <f t="shared" si="27"/>
        <v>2633.9791099999998</v>
      </c>
      <c r="J183" s="91" t="s">
        <v>466</v>
      </c>
      <c r="K183" s="34"/>
      <c r="L183" s="1" t="s">
        <v>460</v>
      </c>
    </row>
    <row r="184" spans="1:12" ht="36" x14ac:dyDescent="0.2">
      <c r="A184" s="16" t="s">
        <v>725</v>
      </c>
      <c r="B184" s="92" t="s">
        <v>458</v>
      </c>
      <c r="C184" s="255"/>
      <c r="D184" s="173" t="s">
        <v>459</v>
      </c>
      <c r="E184" s="116" t="s">
        <v>539</v>
      </c>
      <c r="F184" s="19" t="s">
        <v>410</v>
      </c>
      <c r="G184" s="24" t="s">
        <v>13</v>
      </c>
      <c r="H184" s="21">
        <f>(2058211.12)/1000*$H$5</f>
        <v>2058.2111199999999</v>
      </c>
      <c r="I184" s="21">
        <f t="shared" si="27"/>
        <v>2058.2111199999999</v>
      </c>
      <c r="J184" s="91" t="s">
        <v>539</v>
      </c>
      <c r="K184" s="34"/>
      <c r="L184" s="1" t="s">
        <v>459</v>
      </c>
    </row>
    <row r="185" spans="1:12" ht="48" x14ac:dyDescent="0.2">
      <c r="A185" s="16" t="s">
        <v>726</v>
      </c>
      <c r="B185" s="92" t="s">
        <v>461</v>
      </c>
      <c r="C185" s="255"/>
      <c r="D185" s="173" t="s">
        <v>465</v>
      </c>
      <c r="E185" s="116" t="s">
        <v>462</v>
      </c>
      <c r="F185" s="19" t="s">
        <v>126</v>
      </c>
      <c r="G185" s="24" t="s">
        <v>410</v>
      </c>
      <c r="H185" s="21">
        <f>(2038983)/1000*$H$5</f>
        <v>2038.9829999999999</v>
      </c>
      <c r="I185" s="21">
        <f t="shared" si="27"/>
        <v>2038.9829999999999</v>
      </c>
      <c r="J185" s="91" t="s">
        <v>462</v>
      </c>
      <c r="K185" s="34"/>
      <c r="L185" s="1" t="s">
        <v>465</v>
      </c>
    </row>
    <row r="186" spans="1:12" ht="36" x14ac:dyDescent="0.2">
      <c r="A186" s="16" t="s">
        <v>727</v>
      </c>
      <c r="B186" s="92" t="s">
        <v>464</v>
      </c>
      <c r="C186" s="255"/>
      <c r="D186" s="173" t="s">
        <v>468</v>
      </c>
      <c r="E186" s="116" t="s">
        <v>467</v>
      </c>
      <c r="F186" s="19" t="s">
        <v>8</v>
      </c>
      <c r="G186" s="24" t="s">
        <v>14</v>
      </c>
      <c r="H186" s="21">
        <f>(130768063)/1000*$H$5</f>
        <v>130768.06299999999</v>
      </c>
      <c r="I186" s="21">
        <f>H186-(25018370+1469829+12347573)/1000*$H$5</f>
        <v>91932.290999999997</v>
      </c>
      <c r="J186" s="91" t="s">
        <v>467</v>
      </c>
      <c r="K186" s="34"/>
      <c r="L186" s="1" t="s">
        <v>468</v>
      </c>
    </row>
    <row r="187" spans="1:12" ht="84" x14ac:dyDescent="0.2">
      <c r="A187" s="16" t="s">
        <v>728</v>
      </c>
      <c r="B187" s="92" t="s">
        <v>469</v>
      </c>
      <c r="C187" s="255"/>
      <c r="D187" s="173" t="s">
        <v>471</v>
      </c>
      <c r="E187" s="116" t="s">
        <v>1032</v>
      </c>
      <c r="F187" s="19" t="s">
        <v>179</v>
      </c>
      <c r="G187" s="19" t="s">
        <v>7</v>
      </c>
      <c r="H187" s="21">
        <f>(5544496)/1000*$H$5</f>
        <v>5544.4960000000001</v>
      </c>
      <c r="I187" s="21">
        <f t="shared" si="27"/>
        <v>5544.4960000000001</v>
      </c>
      <c r="J187" s="91" t="s">
        <v>470</v>
      </c>
      <c r="K187" s="34"/>
      <c r="L187" s="1" t="s">
        <v>471</v>
      </c>
    </row>
    <row r="188" spans="1:12" ht="48" x14ac:dyDescent="0.2">
      <c r="A188" s="16" t="s">
        <v>729</v>
      </c>
      <c r="B188" s="92" t="s">
        <v>472</v>
      </c>
      <c r="C188" s="255"/>
      <c r="D188" s="173" t="s">
        <v>473</v>
      </c>
      <c r="E188" s="116" t="s">
        <v>475</v>
      </c>
      <c r="F188" s="19" t="s">
        <v>78</v>
      </c>
      <c r="G188" s="19" t="s">
        <v>78</v>
      </c>
      <c r="H188" s="21">
        <f>(829818)/1000*$H$5</f>
        <v>829.81799999999998</v>
      </c>
      <c r="I188" s="21">
        <f t="shared" si="27"/>
        <v>829.81799999999998</v>
      </c>
      <c r="J188" s="91" t="s">
        <v>475</v>
      </c>
      <c r="K188" s="34"/>
      <c r="L188" s="1" t="s">
        <v>473</v>
      </c>
    </row>
    <row r="189" spans="1:12" ht="48.75" customHeight="1" x14ac:dyDescent="0.2">
      <c r="A189" s="16" t="s">
        <v>730</v>
      </c>
      <c r="B189" s="92" t="s">
        <v>474</v>
      </c>
      <c r="C189" s="255"/>
      <c r="D189" s="173" t="s">
        <v>477</v>
      </c>
      <c r="E189" s="116" t="s">
        <v>467</v>
      </c>
      <c r="F189" s="19" t="s">
        <v>124</v>
      </c>
      <c r="G189" s="19" t="s">
        <v>14</v>
      </c>
      <c r="H189" s="21">
        <f>(100377169)/1000*$H$5</f>
        <v>100377.16899999999</v>
      </c>
      <c r="I189" s="21">
        <f>H189-(25100604.84)/1000*$H$5</f>
        <v>75276.564159999994</v>
      </c>
      <c r="J189" s="91" t="s">
        <v>476</v>
      </c>
      <c r="K189" s="34"/>
      <c r="L189" s="1" t="s">
        <v>477</v>
      </c>
    </row>
    <row r="190" spans="1:12" ht="60" x14ac:dyDescent="0.2">
      <c r="A190" s="16" t="s">
        <v>731</v>
      </c>
      <c r="B190" s="92" t="s">
        <v>478</v>
      </c>
      <c r="C190" s="255"/>
      <c r="D190" s="173" t="s">
        <v>480</v>
      </c>
      <c r="E190" s="116" t="s">
        <v>479</v>
      </c>
      <c r="F190" s="19" t="s">
        <v>4</v>
      </c>
      <c r="G190" s="19" t="s">
        <v>24</v>
      </c>
      <c r="H190" s="21">
        <f>(22587631)/1000*$H$5</f>
        <v>22587.631000000001</v>
      </c>
      <c r="I190" s="21">
        <f t="shared" si="27"/>
        <v>22587.631000000001</v>
      </c>
      <c r="J190" s="58" t="s">
        <v>479</v>
      </c>
      <c r="K190" s="59"/>
      <c r="L190" s="1" t="s">
        <v>480</v>
      </c>
    </row>
    <row r="191" spans="1:12" ht="23.25" customHeight="1" x14ac:dyDescent="0.2">
      <c r="A191" s="16" t="s">
        <v>732</v>
      </c>
      <c r="B191" s="48" t="s">
        <v>481</v>
      </c>
      <c r="C191" s="255"/>
      <c r="D191" s="173" t="s">
        <v>483</v>
      </c>
      <c r="E191" s="116" t="s">
        <v>482</v>
      </c>
      <c r="F191" s="19" t="s">
        <v>427</v>
      </c>
      <c r="G191" s="19" t="s">
        <v>84</v>
      </c>
      <c r="H191" s="21">
        <f>(24378308.18)/1000*$H$5</f>
        <v>24378.30818</v>
      </c>
      <c r="I191" s="21">
        <f>H191-(3669923.61)/1000*$H$5</f>
        <v>20708.384570000002</v>
      </c>
      <c r="J191" s="91" t="s">
        <v>482</v>
      </c>
      <c r="K191" s="34"/>
      <c r="L191" s="1" t="s">
        <v>483</v>
      </c>
    </row>
    <row r="192" spans="1:12" ht="48" x14ac:dyDescent="0.2">
      <c r="A192" s="16" t="s">
        <v>733</v>
      </c>
      <c r="B192" s="92" t="s">
        <v>485</v>
      </c>
      <c r="C192" s="255"/>
      <c r="D192" s="173" t="s">
        <v>486</v>
      </c>
      <c r="E192" s="116" t="s">
        <v>487</v>
      </c>
      <c r="F192" s="19" t="s">
        <v>427</v>
      </c>
      <c r="G192" s="24" t="s">
        <v>230</v>
      </c>
      <c r="H192" s="21">
        <f>(18119912)/1000*$H$5</f>
        <v>18119.912</v>
      </c>
      <c r="I192" s="21">
        <f t="shared" si="27"/>
        <v>18119.912</v>
      </c>
      <c r="J192" s="91" t="s">
        <v>487</v>
      </c>
      <c r="K192" s="34"/>
      <c r="L192" s="1" t="s">
        <v>486</v>
      </c>
    </row>
    <row r="193" spans="1:12" ht="60" x14ac:dyDescent="0.2">
      <c r="A193" s="16" t="s">
        <v>734</v>
      </c>
      <c r="B193" s="92" t="s">
        <v>484</v>
      </c>
      <c r="C193" s="255"/>
      <c r="D193" s="173" t="s">
        <v>490</v>
      </c>
      <c r="E193" s="116" t="s">
        <v>489</v>
      </c>
      <c r="F193" s="19" t="s">
        <v>427</v>
      </c>
      <c r="G193" s="19" t="s">
        <v>488</v>
      </c>
      <c r="H193" s="21">
        <f>(50693441.39)/1000*$H$5</f>
        <v>50693.44139</v>
      </c>
      <c r="I193" s="21">
        <f>H193-(7118161)/1000*$H$5</f>
        <v>43575.28039</v>
      </c>
      <c r="J193" s="91" t="s">
        <v>489</v>
      </c>
      <c r="K193" s="34"/>
      <c r="L193" s="1" t="s">
        <v>490</v>
      </c>
    </row>
    <row r="194" spans="1:12" ht="48" x14ac:dyDescent="0.2">
      <c r="A194" s="16" t="s">
        <v>735</v>
      </c>
      <c r="B194" s="92" t="s">
        <v>491</v>
      </c>
      <c r="C194" s="255"/>
      <c r="D194" s="173" t="s">
        <v>493</v>
      </c>
      <c r="E194" s="116" t="s">
        <v>492</v>
      </c>
      <c r="F194" s="19" t="s">
        <v>230</v>
      </c>
      <c r="G194" s="24" t="s">
        <v>7</v>
      </c>
      <c r="H194" s="21">
        <f>(1289255)/1000*$H$5</f>
        <v>1289.2550000000001</v>
      </c>
      <c r="I194" s="21">
        <f t="shared" si="27"/>
        <v>1289.2550000000001</v>
      </c>
      <c r="J194" s="91" t="s">
        <v>492</v>
      </c>
      <c r="K194" s="34"/>
      <c r="L194" s="1" t="s">
        <v>493</v>
      </c>
    </row>
    <row r="195" spans="1:12" ht="24" x14ac:dyDescent="0.2">
      <c r="A195" s="16" t="s">
        <v>736</v>
      </c>
      <c r="B195" s="92" t="s">
        <v>495</v>
      </c>
      <c r="C195" s="255"/>
      <c r="D195" s="173" t="s">
        <v>494</v>
      </c>
      <c r="E195" s="116" t="s">
        <v>540</v>
      </c>
      <c r="F195" s="19" t="s">
        <v>230</v>
      </c>
      <c r="G195" s="24" t="s">
        <v>7</v>
      </c>
      <c r="H195" s="21">
        <f>(998697)/1000*$H$5</f>
        <v>998.697</v>
      </c>
      <c r="I195" s="21">
        <f t="shared" si="27"/>
        <v>998.697</v>
      </c>
      <c r="J195" s="91" t="s">
        <v>540</v>
      </c>
      <c r="K195" s="34"/>
      <c r="L195" s="1" t="s">
        <v>494</v>
      </c>
    </row>
    <row r="196" spans="1:12" ht="72" x14ac:dyDescent="0.2">
      <c r="A196" s="16" t="s">
        <v>737</v>
      </c>
      <c r="B196" s="92" t="s">
        <v>497</v>
      </c>
      <c r="C196" s="255"/>
      <c r="D196" s="173" t="s">
        <v>496</v>
      </c>
      <c r="E196" s="116" t="s">
        <v>498</v>
      </c>
      <c r="F196" s="19" t="s">
        <v>499</v>
      </c>
      <c r="G196" s="24" t="s">
        <v>500</v>
      </c>
      <c r="H196" s="21">
        <f>(4308132)/1000*$H$5</f>
        <v>4308.1319999999996</v>
      </c>
      <c r="I196" s="21">
        <f>H196-(1306408)/1000*$H$5</f>
        <v>3001.7239999999997</v>
      </c>
      <c r="J196" s="91" t="s">
        <v>498</v>
      </c>
      <c r="K196" s="34"/>
      <c r="L196" s="1" t="s">
        <v>496</v>
      </c>
    </row>
    <row r="197" spans="1:12" ht="36" x14ac:dyDescent="0.2">
      <c r="A197" s="16" t="s">
        <v>738</v>
      </c>
      <c r="B197" s="92" t="s">
        <v>501</v>
      </c>
      <c r="C197" s="255"/>
      <c r="D197" s="173" t="s">
        <v>503</v>
      </c>
      <c r="E197" s="116" t="s">
        <v>502</v>
      </c>
      <c r="F197" s="19" t="s">
        <v>132</v>
      </c>
      <c r="G197" s="24" t="s">
        <v>9</v>
      </c>
      <c r="H197" s="21">
        <f>(12401096)/1000*$H$5</f>
        <v>12401.096</v>
      </c>
      <c r="I197" s="21">
        <f t="shared" ref="I197" si="28">H197-(0)/1000*$H$5</f>
        <v>12401.096</v>
      </c>
      <c r="J197" s="91" t="s">
        <v>502</v>
      </c>
      <c r="K197" s="34"/>
      <c r="L197" s="1" t="s">
        <v>503</v>
      </c>
    </row>
    <row r="198" spans="1:12" ht="48" x14ac:dyDescent="0.2">
      <c r="A198" s="16" t="s">
        <v>739</v>
      </c>
      <c r="B198" s="92" t="s">
        <v>509</v>
      </c>
      <c r="C198" s="255"/>
      <c r="D198" s="173" t="s">
        <v>504</v>
      </c>
      <c r="E198" s="116" t="s">
        <v>505</v>
      </c>
      <c r="F198" s="19" t="s">
        <v>7</v>
      </c>
      <c r="G198" s="19" t="s">
        <v>93</v>
      </c>
      <c r="H198" s="21">
        <f>(1022700)/1000*$H$5</f>
        <v>1022.7</v>
      </c>
      <c r="I198" s="21">
        <f t="shared" ref="I198:I213" si="29">H198-(0)/1000*$H$5</f>
        <v>1022.7</v>
      </c>
      <c r="J198" s="91" t="s">
        <v>505</v>
      </c>
      <c r="K198" s="34"/>
      <c r="L198" s="1" t="s">
        <v>504</v>
      </c>
    </row>
    <row r="199" spans="1:12" ht="48" x14ac:dyDescent="0.2">
      <c r="A199" s="16" t="s">
        <v>740</v>
      </c>
      <c r="B199" s="92" t="s">
        <v>509</v>
      </c>
      <c r="C199" s="255"/>
      <c r="D199" s="173" t="s">
        <v>506</v>
      </c>
      <c r="E199" s="116" t="s">
        <v>507</v>
      </c>
      <c r="F199" s="19" t="s">
        <v>508</v>
      </c>
      <c r="G199" s="19" t="s">
        <v>86</v>
      </c>
      <c r="H199" s="21">
        <f>(8552344)/1000*$H$5</f>
        <v>8552.3439999999991</v>
      </c>
      <c r="I199" s="21">
        <f t="shared" si="29"/>
        <v>8552.3439999999991</v>
      </c>
      <c r="J199" s="91" t="s">
        <v>507</v>
      </c>
      <c r="K199" s="34"/>
      <c r="L199" s="1" t="s">
        <v>506</v>
      </c>
    </row>
    <row r="200" spans="1:12" ht="48" x14ac:dyDescent="0.2">
      <c r="A200" s="16" t="s">
        <v>741</v>
      </c>
      <c r="B200" s="92" t="s">
        <v>541</v>
      </c>
      <c r="C200" s="255"/>
      <c r="D200" s="173" t="s">
        <v>510</v>
      </c>
      <c r="E200" s="116" t="s">
        <v>512</v>
      </c>
      <c r="F200" s="19" t="s">
        <v>86</v>
      </c>
      <c r="G200" s="19" t="s">
        <v>511</v>
      </c>
      <c r="H200" s="21">
        <f>(1554362)/1000*$H$5</f>
        <v>1554.3620000000001</v>
      </c>
      <c r="I200" s="21">
        <f t="shared" si="29"/>
        <v>1554.3620000000001</v>
      </c>
      <c r="J200" s="91" t="s">
        <v>512</v>
      </c>
      <c r="K200" s="34"/>
      <c r="L200" s="1" t="s">
        <v>510</v>
      </c>
    </row>
    <row r="201" spans="1:12" ht="48" x14ac:dyDescent="0.2">
      <c r="A201" s="16" t="s">
        <v>742</v>
      </c>
      <c r="B201" s="92" t="s">
        <v>514</v>
      </c>
      <c r="C201" s="255"/>
      <c r="D201" s="173" t="s">
        <v>513</v>
      </c>
      <c r="E201" s="116" t="s">
        <v>515</v>
      </c>
      <c r="F201" s="19" t="s">
        <v>511</v>
      </c>
      <c r="G201" s="19" t="s">
        <v>95</v>
      </c>
      <c r="H201" s="21">
        <f>(5110000)/1000*$H$5</f>
        <v>5110</v>
      </c>
      <c r="I201" s="21">
        <f t="shared" si="29"/>
        <v>5110</v>
      </c>
      <c r="J201" s="58" t="s">
        <v>515</v>
      </c>
      <c r="K201" s="59"/>
      <c r="L201" s="1" t="s">
        <v>513</v>
      </c>
    </row>
    <row r="202" spans="1:12" ht="36" x14ac:dyDescent="0.2">
      <c r="A202" s="16" t="s">
        <v>743</v>
      </c>
      <c r="B202" s="92" t="s">
        <v>517</v>
      </c>
      <c r="C202" s="255"/>
      <c r="D202" s="173" t="s">
        <v>516</v>
      </c>
      <c r="E202" s="116" t="s">
        <v>482</v>
      </c>
      <c r="F202" s="19" t="s">
        <v>58</v>
      </c>
      <c r="G202" s="19" t="s">
        <v>58</v>
      </c>
      <c r="H202" s="21">
        <f>(3205702)/1000*$H$5</f>
        <v>3205.7020000000002</v>
      </c>
      <c r="I202" s="21">
        <f t="shared" si="29"/>
        <v>3205.7020000000002</v>
      </c>
      <c r="J202" s="91" t="s">
        <v>482</v>
      </c>
      <c r="K202" s="34"/>
      <c r="L202" s="1" t="s">
        <v>516</v>
      </c>
    </row>
    <row r="203" spans="1:12" ht="48" x14ac:dyDescent="0.2">
      <c r="A203" s="16" t="s">
        <v>744</v>
      </c>
      <c r="B203" s="92" t="s">
        <v>542</v>
      </c>
      <c r="C203" s="255"/>
      <c r="D203" s="173" t="s">
        <v>522</v>
      </c>
      <c r="E203" s="116" t="s">
        <v>521</v>
      </c>
      <c r="F203" s="19" t="s">
        <v>91</v>
      </c>
      <c r="G203" s="24" t="s">
        <v>139</v>
      </c>
      <c r="H203" s="21">
        <f>(9056742)/1000*$H$5</f>
        <v>9056.7420000000002</v>
      </c>
      <c r="I203" s="21">
        <f t="shared" ref="I203:I204" si="30">H203-(0)/1000*$H$5</f>
        <v>9056.7420000000002</v>
      </c>
      <c r="J203" s="91" t="s">
        <v>521</v>
      </c>
      <c r="K203" s="34"/>
      <c r="L203" s="1" t="s">
        <v>518</v>
      </c>
    </row>
    <row r="204" spans="1:12" ht="48" x14ac:dyDescent="0.2">
      <c r="A204" s="16" t="s">
        <v>745</v>
      </c>
      <c r="B204" s="92" t="s">
        <v>542</v>
      </c>
      <c r="C204" s="255"/>
      <c r="D204" s="173" t="s">
        <v>520</v>
      </c>
      <c r="E204" s="116" t="s">
        <v>523</v>
      </c>
      <c r="F204" s="19" t="s">
        <v>139</v>
      </c>
      <c r="G204" s="19" t="s">
        <v>211</v>
      </c>
      <c r="H204" s="21">
        <f>(3645714)/1000*$H$5</f>
        <v>3645.7139999999999</v>
      </c>
      <c r="I204" s="21">
        <f t="shared" si="30"/>
        <v>3645.7139999999999</v>
      </c>
      <c r="J204" s="91" t="s">
        <v>523</v>
      </c>
      <c r="K204" s="34"/>
      <c r="L204" s="1" t="s">
        <v>522</v>
      </c>
    </row>
    <row r="205" spans="1:12" ht="84" x14ac:dyDescent="0.2">
      <c r="A205" s="16" t="s">
        <v>746</v>
      </c>
      <c r="B205" s="92" t="s">
        <v>542</v>
      </c>
      <c r="C205" s="255"/>
      <c r="D205" s="173" t="s">
        <v>524</v>
      </c>
      <c r="E205" s="116" t="s">
        <v>790</v>
      </c>
      <c r="F205" s="19" t="s">
        <v>211</v>
      </c>
      <c r="G205" s="24" t="s">
        <v>519</v>
      </c>
      <c r="H205" s="21">
        <f>(5120965)/1000*$H$5</f>
        <v>5120.9650000000001</v>
      </c>
      <c r="I205" s="21">
        <f t="shared" si="29"/>
        <v>5120.9650000000001</v>
      </c>
      <c r="J205" s="91" t="s">
        <v>790</v>
      </c>
      <c r="K205" s="34"/>
      <c r="L205" s="1" t="s">
        <v>520</v>
      </c>
    </row>
    <row r="206" spans="1:12" ht="48" x14ac:dyDescent="0.2">
      <c r="A206" s="16" t="s">
        <v>747</v>
      </c>
      <c r="B206" s="92" t="s">
        <v>525</v>
      </c>
      <c r="C206" s="255"/>
      <c r="D206" s="173" t="s">
        <v>527</v>
      </c>
      <c r="E206" s="116" t="s">
        <v>528</v>
      </c>
      <c r="F206" s="19" t="s">
        <v>101</v>
      </c>
      <c r="G206" s="24" t="s">
        <v>141</v>
      </c>
      <c r="H206" s="21">
        <f>(3928184)/1000*$H$5</f>
        <v>3928.1840000000002</v>
      </c>
      <c r="I206" s="21">
        <f t="shared" si="29"/>
        <v>3928.1840000000002</v>
      </c>
      <c r="J206" s="91" t="s">
        <v>528</v>
      </c>
      <c r="K206" s="34"/>
      <c r="L206" s="1" t="s">
        <v>524</v>
      </c>
    </row>
    <row r="207" spans="1:12" ht="36" x14ac:dyDescent="0.2">
      <c r="A207" s="16" t="s">
        <v>748</v>
      </c>
      <c r="B207" s="92" t="s">
        <v>526</v>
      </c>
      <c r="C207" s="255"/>
      <c r="D207" s="173" t="s">
        <v>527</v>
      </c>
      <c r="E207" s="116" t="s">
        <v>422</v>
      </c>
      <c r="F207" s="19" t="s">
        <v>104</v>
      </c>
      <c r="G207" s="24" t="s">
        <v>20</v>
      </c>
      <c r="H207" s="21">
        <f>(1807561)/1000*$H$5</f>
        <v>1807.5609999999999</v>
      </c>
      <c r="I207" s="21">
        <f t="shared" si="29"/>
        <v>1807.5609999999999</v>
      </c>
      <c r="J207" s="91" t="s">
        <v>422</v>
      </c>
      <c r="K207" s="34"/>
      <c r="L207" s="1" t="s">
        <v>527</v>
      </c>
    </row>
    <row r="208" spans="1:12" ht="63.75" customHeight="1" x14ac:dyDescent="0.2">
      <c r="A208" s="16" t="s">
        <v>749</v>
      </c>
      <c r="B208" s="92" t="s">
        <v>529</v>
      </c>
      <c r="C208" s="255"/>
      <c r="D208" s="173" t="s">
        <v>532</v>
      </c>
      <c r="E208" s="116" t="s">
        <v>1033</v>
      </c>
      <c r="F208" s="19" t="s">
        <v>107</v>
      </c>
      <c r="G208" s="24" t="s">
        <v>531</v>
      </c>
      <c r="H208" s="21">
        <f>(3056511)/1000*$H$5</f>
        <v>3056.511</v>
      </c>
      <c r="I208" s="21">
        <f t="shared" si="29"/>
        <v>3056.511</v>
      </c>
      <c r="J208" s="91" t="s">
        <v>530</v>
      </c>
      <c r="K208" s="34"/>
      <c r="L208" s="1" t="s">
        <v>532</v>
      </c>
    </row>
    <row r="209" spans="1:12" ht="36" x14ac:dyDescent="0.2">
      <c r="A209" s="17" t="s">
        <v>750</v>
      </c>
      <c r="B209" s="92" t="s">
        <v>534</v>
      </c>
      <c r="C209" s="256"/>
      <c r="D209" s="173" t="s">
        <v>533</v>
      </c>
      <c r="E209" s="116" t="s">
        <v>535</v>
      </c>
      <c r="F209" s="19" t="s">
        <v>107</v>
      </c>
      <c r="G209" s="24" t="s">
        <v>17</v>
      </c>
      <c r="H209" s="13">
        <f>(6230000)/1000*$H$5</f>
        <v>6230</v>
      </c>
      <c r="I209" s="13">
        <f t="shared" si="29"/>
        <v>6230</v>
      </c>
      <c r="J209" s="91" t="s">
        <v>535</v>
      </c>
      <c r="K209" s="34"/>
      <c r="L209" s="1" t="s">
        <v>533</v>
      </c>
    </row>
    <row r="210" spans="1:12" ht="96" x14ac:dyDescent="0.2">
      <c r="A210" s="17" t="s">
        <v>751</v>
      </c>
      <c r="B210" s="129" t="s">
        <v>791</v>
      </c>
      <c r="C210" s="71" t="s">
        <v>792</v>
      </c>
      <c r="D210" s="180" t="s">
        <v>628</v>
      </c>
      <c r="E210" s="71" t="s">
        <v>1034</v>
      </c>
      <c r="F210" s="11" t="s">
        <v>86</v>
      </c>
      <c r="G210" s="11" t="s">
        <v>91</v>
      </c>
      <c r="H210" s="88">
        <f>(2720619)/1000*$H$5</f>
        <v>2720.6190000000001</v>
      </c>
      <c r="I210" s="88">
        <f t="shared" ref="I210" si="31">H210-(0)/1000*$H$5</f>
        <v>2720.6190000000001</v>
      </c>
      <c r="J210" s="2" t="s">
        <v>793</v>
      </c>
      <c r="K210" s="3"/>
      <c r="L210" s="1" t="s">
        <v>628</v>
      </c>
    </row>
    <row r="211" spans="1:12" ht="48" x14ac:dyDescent="0.2">
      <c r="A211" s="17" t="s">
        <v>752</v>
      </c>
      <c r="B211" s="94" t="s">
        <v>635</v>
      </c>
      <c r="C211" s="71" t="s">
        <v>636</v>
      </c>
      <c r="D211" s="180"/>
      <c r="E211" s="71" t="s">
        <v>1035</v>
      </c>
      <c r="F211" s="11" t="s">
        <v>22</v>
      </c>
      <c r="G211" s="11" t="s">
        <v>18</v>
      </c>
      <c r="H211" s="97">
        <f>(6361573.23)/1000*$H$5</f>
        <v>6361.5732300000009</v>
      </c>
      <c r="I211" s="97">
        <f t="shared" ref="I211:I212" si="32">H211-(0)/1000*$H$5</f>
        <v>6361.5732300000009</v>
      </c>
      <c r="J211" s="2" t="s">
        <v>639</v>
      </c>
      <c r="K211" s="3"/>
    </row>
    <row r="212" spans="1:12" ht="72" x14ac:dyDescent="0.2">
      <c r="A212" s="75" t="s">
        <v>753</v>
      </c>
      <c r="B212" s="89" t="s">
        <v>616</v>
      </c>
      <c r="C212" s="71" t="s">
        <v>619</v>
      </c>
      <c r="D212" s="180" t="s">
        <v>618</v>
      </c>
      <c r="E212" s="71" t="s">
        <v>1036</v>
      </c>
      <c r="F212" s="11" t="s">
        <v>93</v>
      </c>
      <c r="G212" s="11" t="s">
        <v>9</v>
      </c>
      <c r="H212" s="88">
        <f>(5002224)/1000*$H$5</f>
        <v>5002.2240000000002</v>
      </c>
      <c r="I212" s="88">
        <f t="shared" si="32"/>
        <v>5002.2240000000002</v>
      </c>
      <c r="J212" s="2" t="s">
        <v>617</v>
      </c>
      <c r="K212" s="3"/>
      <c r="L212" s="1" t="s">
        <v>618</v>
      </c>
    </row>
    <row r="213" spans="1:12" ht="67.5" x14ac:dyDescent="0.2">
      <c r="A213" s="17" t="s">
        <v>754</v>
      </c>
      <c r="B213" s="72" t="s">
        <v>794</v>
      </c>
      <c r="C213" s="71" t="s">
        <v>795</v>
      </c>
      <c r="D213" s="180" t="s">
        <v>550</v>
      </c>
      <c r="E213" s="71" t="s">
        <v>1037</v>
      </c>
      <c r="F213" s="11" t="s">
        <v>177</v>
      </c>
      <c r="G213" s="11" t="s">
        <v>8</v>
      </c>
      <c r="H213" s="13">
        <f>(6175000+2850000)/1000*$H$5</f>
        <v>9025</v>
      </c>
      <c r="I213" s="13">
        <f t="shared" si="29"/>
        <v>9025</v>
      </c>
      <c r="J213" s="2" t="s">
        <v>549</v>
      </c>
      <c r="K213" s="3"/>
      <c r="L213" s="62" t="s">
        <v>550</v>
      </c>
    </row>
    <row r="214" spans="1:12" ht="84" x14ac:dyDescent="0.2">
      <c r="A214" s="16" t="s">
        <v>755</v>
      </c>
      <c r="B214" s="125" t="s">
        <v>798</v>
      </c>
      <c r="C214" s="71" t="s">
        <v>555</v>
      </c>
      <c r="D214" s="180" t="s">
        <v>1038</v>
      </c>
      <c r="E214" s="71" t="s">
        <v>553</v>
      </c>
      <c r="F214" s="11" t="s">
        <v>410</v>
      </c>
      <c r="G214" s="11" t="s">
        <v>127</v>
      </c>
      <c r="H214" s="13">
        <f>(2130356+1597705)/1000*$H$5</f>
        <v>3728.0610000000001</v>
      </c>
      <c r="I214" s="13">
        <f t="shared" ref="I214:I220" si="33">H214-(0)/1000*$H$5</f>
        <v>3728.0610000000001</v>
      </c>
      <c r="J214" s="2" t="s">
        <v>553</v>
      </c>
      <c r="K214" s="3"/>
    </row>
    <row r="215" spans="1:12" ht="72" x14ac:dyDescent="0.2">
      <c r="A215" s="16" t="s">
        <v>757</v>
      </c>
      <c r="B215" s="126"/>
      <c r="C215" s="257" t="s">
        <v>554</v>
      </c>
      <c r="D215" s="184" t="s">
        <v>563</v>
      </c>
      <c r="E215" s="166" t="s">
        <v>564</v>
      </c>
      <c r="F215" s="19" t="s">
        <v>49</v>
      </c>
      <c r="G215" s="19" t="s">
        <v>54</v>
      </c>
      <c r="H215" s="21">
        <f>(946726+686086)/1000*$H$5</f>
        <v>1632.8119999999999</v>
      </c>
      <c r="I215" s="21">
        <f t="shared" si="33"/>
        <v>1632.8119999999999</v>
      </c>
      <c r="J215" s="58" t="s">
        <v>564</v>
      </c>
      <c r="K215" s="59"/>
      <c r="L215" s="62" t="s">
        <v>563</v>
      </c>
    </row>
    <row r="216" spans="1:12" ht="45" x14ac:dyDescent="0.2">
      <c r="A216" s="16" t="s">
        <v>758</v>
      </c>
      <c r="B216" s="126"/>
      <c r="C216" s="258"/>
      <c r="D216" s="184" t="s">
        <v>620</v>
      </c>
      <c r="E216" s="124" t="s">
        <v>565</v>
      </c>
      <c r="F216" s="19" t="s">
        <v>4</v>
      </c>
      <c r="G216" s="19" t="s">
        <v>5</v>
      </c>
      <c r="H216" s="21">
        <f>(740000+867118)/1000*$H$5</f>
        <v>1607.1179999999999</v>
      </c>
      <c r="I216" s="21">
        <f t="shared" si="33"/>
        <v>1607.1179999999999</v>
      </c>
      <c r="J216" s="58" t="s">
        <v>565</v>
      </c>
      <c r="K216" s="59"/>
      <c r="L216" s="62" t="s">
        <v>620</v>
      </c>
    </row>
    <row r="217" spans="1:12" ht="45" x14ac:dyDescent="0.2">
      <c r="A217" s="16" t="s">
        <v>759</v>
      </c>
      <c r="B217" s="126"/>
      <c r="C217" s="258"/>
      <c r="D217" s="184" t="s">
        <v>621</v>
      </c>
      <c r="E217" s="124" t="s">
        <v>565</v>
      </c>
      <c r="F217" s="19" t="s">
        <v>137</v>
      </c>
      <c r="G217" s="19" t="s">
        <v>9</v>
      </c>
      <c r="H217" s="21">
        <f>(1509648+1083366)/1000*$H$5</f>
        <v>2593.0140000000001</v>
      </c>
      <c r="I217" s="21">
        <f t="shared" si="33"/>
        <v>2593.0140000000001</v>
      </c>
      <c r="J217" s="58" t="s">
        <v>565</v>
      </c>
      <c r="K217" s="59"/>
      <c r="L217" s="62" t="s">
        <v>621</v>
      </c>
    </row>
    <row r="218" spans="1:12" ht="45" x14ac:dyDescent="0.2">
      <c r="A218" s="16" t="s">
        <v>760</v>
      </c>
      <c r="B218" s="126"/>
      <c r="C218" s="258"/>
      <c r="D218" s="184" t="s">
        <v>623</v>
      </c>
      <c r="E218" s="124" t="s">
        <v>565</v>
      </c>
      <c r="F218" s="19" t="s">
        <v>508</v>
      </c>
      <c r="G218" s="19" t="s">
        <v>16</v>
      </c>
      <c r="H218" s="21">
        <f>(4608712+1700000)/1000*$H$5</f>
        <v>6308.7120000000004</v>
      </c>
      <c r="I218" s="21">
        <f t="shared" si="33"/>
        <v>6308.7120000000004</v>
      </c>
      <c r="J218" s="58" t="s">
        <v>565</v>
      </c>
      <c r="K218" s="59"/>
      <c r="L218" s="62" t="s">
        <v>623</v>
      </c>
    </row>
    <row r="219" spans="1:12" ht="48" customHeight="1" x14ac:dyDescent="0.2">
      <c r="A219" s="16" t="s">
        <v>761</v>
      </c>
      <c r="B219" s="127"/>
      <c r="C219" s="259"/>
      <c r="D219" s="184" t="s">
        <v>624</v>
      </c>
      <c r="E219" s="58" t="s">
        <v>756</v>
      </c>
      <c r="F219" s="19" t="s">
        <v>61</v>
      </c>
      <c r="G219" s="19" t="s">
        <v>103</v>
      </c>
      <c r="H219" s="21">
        <f>(4390000074)/1000*$H$5</f>
        <v>4390000.074</v>
      </c>
      <c r="I219" s="21">
        <f t="shared" si="33"/>
        <v>4390000.074</v>
      </c>
      <c r="J219" s="58" t="s">
        <v>756</v>
      </c>
      <c r="K219" s="59"/>
      <c r="L219" s="1" t="s">
        <v>624</v>
      </c>
    </row>
    <row r="220" spans="1:12" ht="60" x14ac:dyDescent="0.2">
      <c r="A220" s="128" t="s">
        <v>762</v>
      </c>
      <c r="B220" s="71" t="s">
        <v>797</v>
      </c>
      <c r="C220" s="71" t="s">
        <v>637</v>
      </c>
      <c r="D220" s="180" t="s">
        <v>641</v>
      </c>
      <c r="E220" s="2" t="s">
        <v>1039</v>
      </c>
      <c r="F220" s="11" t="s">
        <v>141</v>
      </c>
      <c r="G220" s="11" t="s">
        <v>638</v>
      </c>
      <c r="H220" s="111">
        <f>(1240980)/1000*$H$5</f>
        <v>1240.98</v>
      </c>
      <c r="I220" s="111">
        <f t="shared" si="33"/>
        <v>1240.98</v>
      </c>
      <c r="J220" s="2" t="s">
        <v>640</v>
      </c>
      <c r="K220" s="3"/>
      <c r="L220" s="1" t="s">
        <v>641</v>
      </c>
    </row>
    <row r="222" spans="1:12" x14ac:dyDescent="0.2">
      <c r="B222" s="260" t="s">
        <v>796</v>
      </c>
      <c r="C222" s="260"/>
      <c r="D222" s="260"/>
      <c r="E222" s="260"/>
      <c r="F222" s="260"/>
      <c r="G222" s="260"/>
      <c r="H222" s="260"/>
      <c r="I222" s="260"/>
      <c r="J222" s="260"/>
      <c r="K222" s="260"/>
    </row>
    <row r="224" spans="1:12" x14ac:dyDescent="0.2">
      <c r="A224" s="1" t="s">
        <v>806</v>
      </c>
    </row>
    <row r="244" spans="10:10" x14ac:dyDescent="0.2">
      <c r="J244" s="1" t="s">
        <v>1016</v>
      </c>
    </row>
    <row r="245" spans="10:10" x14ac:dyDescent="0.2">
      <c r="J245" s="1" t="s">
        <v>1018</v>
      </c>
    </row>
    <row r="246" spans="10:10" x14ac:dyDescent="0.2">
      <c r="J246" s="1" t="s">
        <v>1019</v>
      </c>
    </row>
    <row r="247" spans="10:10" x14ac:dyDescent="0.2">
      <c r="J247" s="1" t="s">
        <v>1020</v>
      </c>
    </row>
    <row r="248" spans="10:10" x14ac:dyDescent="0.2">
      <c r="J248" s="1" t="s">
        <v>1021</v>
      </c>
    </row>
    <row r="249" spans="10:10" x14ac:dyDescent="0.2">
      <c r="J249" s="1" t="s">
        <v>1022</v>
      </c>
    </row>
    <row r="250" spans="10:10" x14ac:dyDescent="0.2">
      <c r="J250" s="1" t="s">
        <v>1023</v>
      </c>
    </row>
    <row r="251" spans="10:10" x14ac:dyDescent="0.2">
      <c r="J251" s="1" t="s">
        <v>1024</v>
      </c>
    </row>
    <row r="252" spans="10:10" x14ac:dyDescent="0.2">
      <c r="J252" s="1" t="s">
        <v>1025</v>
      </c>
    </row>
    <row r="253" spans="10:10" x14ac:dyDescent="0.2">
      <c r="J253" s="1" t="s">
        <v>1026</v>
      </c>
    </row>
    <row r="254" spans="10:10" x14ac:dyDescent="0.2">
      <c r="J254" s="1" t="s">
        <v>1027</v>
      </c>
    </row>
    <row r="257" spans="10:12" x14ac:dyDescent="0.2">
      <c r="J257" s="1" t="s">
        <v>786</v>
      </c>
      <c r="L257" s="1" t="s">
        <v>577</v>
      </c>
    </row>
  </sheetData>
  <mergeCells count="40">
    <mergeCell ref="B222:K222"/>
    <mergeCell ref="C114:C116"/>
    <mergeCell ref="C111:C113"/>
    <mergeCell ref="C144:C148"/>
    <mergeCell ref="C150:C151"/>
    <mergeCell ref="F150:F151"/>
    <mergeCell ref="G150:G151"/>
    <mergeCell ref="H150:H151"/>
    <mergeCell ref="I150:I151"/>
    <mergeCell ref="C162:C163"/>
    <mergeCell ref="C215:C219"/>
    <mergeCell ref="C139:C140"/>
    <mergeCell ref="C118:C128"/>
    <mergeCell ref="C180:C209"/>
    <mergeCell ref="C129:C138"/>
    <mergeCell ref="C153:C154"/>
    <mergeCell ref="B2:K2"/>
    <mergeCell ref="B3:K3"/>
    <mergeCell ref="B4:K4"/>
    <mergeCell ref="B6:B7"/>
    <mergeCell ref="F6:G6"/>
    <mergeCell ref="H6:I6"/>
    <mergeCell ref="J6:J7"/>
    <mergeCell ref="K6:K7"/>
    <mergeCell ref="C6:C7"/>
    <mergeCell ref="A6:A7"/>
    <mergeCell ref="C9:C21"/>
    <mergeCell ref="C23:C32"/>
    <mergeCell ref="C34:C53"/>
    <mergeCell ref="C54:C55"/>
    <mergeCell ref="C164:C166"/>
    <mergeCell ref="C170:C179"/>
    <mergeCell ref="D6:D7"/>
    <mergeCell ref="E6:E7"/>
    <mergeCell ref="C109:C110"/>
    <mergeCell ref="C56:C57"/>
    <mergeCell ref="C62:C68"/>
    <mergeCell ref="C58:C60"/>
    <mergeCell ref="C103:C107"/>
    <mergeCell ref="C83:C93"/>
  </mergeCells>
  <pageMargins left="0.11811023622047245" right="0.11811023622047245" top="0.27559055118110237" bottom="0.27559055118110237" header="0.31496062992125984" footer="0.11811023622047245"/>
  <pageSetup paperSize="9" scale="10" fitToHeight="200" orientation="landscape" r:id="rId1"/>
  <headerFooter>
    <oddFooter>&amp;R&amp;P</oddFooter>
  </headerFooter>
  <rowBreaks count="1" manualBreakCount="1">
    <brk id="13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47"/>
  <sheetViews>
    <sheetView showZeros="0" tabSelected="1" topLeftCell="B33" zoomScale="130" zoomScaleNormal="130" zoomScaleSheetLayoutView="135" workbookViewId="0">
      <selection activeCell="K7" sqref="K7"/>
    </sheetView>
  </sheetViews>
  <sheetFormatPr defaultColWidth="9.140625" defaultRowHeight="12" x14ac:dyDescent="0.2"/>
  <cols>
    <col min="1" max="1" width="5.140625" style="60" hidden="1" customWidth="1"/>
    <col min="2" max="2" width="4.140625" style="193" customWidth="1"/>
    <col min="3" max="3" width="29.5703125" style="60" customWidth="1"/>
    <col min="4" max="4" width="35.7109375" style="60" customWidth="1"/>
    <col min="5" max="5" width="9.85546875" style="217" customWidth="1"/>
    <col min="6" max="6" width="33" style="189" customWidth="1"/>
    <col min="7" max="7" width="9.140625" style="60" customWidth="1"/>
    <col min="8" max="8" width="10.42578125" style="60" customWidth="1"/>
    <col min="9" max="9" width="10" style="60" customWidth="1"/>
    <col min="10" max="10" width="9.7109375" style="60" customWidth="1"/>
    <col min="11" max="11" width="31.85546875" style="60" customWidth="1"/>
    <col min="12" max="12" width="47.7109375" style="60" customWidth="1"/>
    <col min="13" max="13" width="9.5703125" style="60" bestFit="1" customWidth="1"/>
    <col min="14" max="16384" width="9.140625" style="60"/>
  </cols>
  <sheetData>
    <row r="1" spans="1:11" s="224" customFormat="1" x14ac:dyDescent="0.2">
      <c r="B1" s="225"/>
      <c r="E1" s="226"/>
      <c r="F1" s="227"/>
    </row>
    <row r="2" spans="1:11" s="224" customFormat="1" ht="15.75" x14ac:dyDescent="0.2">
      <c r="B2" s="225"/>
      <c r="C2" s="232" t="s">
        <v>1219</v>
      </c>
      <c r="D2" s="228"/>
      <c r="E2" s="228"/>
      <c r="F2" s="228"/>
      <c r="G2" s="228"/>
      <c r="H2" s="228"/>
      <c r="I2" s="228"/>
      <c r="J2" s="228"/>
      <c r="K2" s="228"/>
    </row>
    <row r="3" spans="1:11" s="224" customFormat="1" ht="15.6" customHeight="1" x14ac:dyDescent="0.2">
      <c r="B3" s="225"/>
      <c r="C3" s="192"/>
      <c r="D3" s="192"/>
      <c r="E3" s="229"/>
      <c r="F3" s="230"/>
      <c r="G3" s="192"/>
      <c r="H3" s="192"/>
      <c r="I3" s="231">
        <v>1</v>
      </c>
      <c r="J3" s="192"/>
      <c r="K3" s="192"/>
    </row>
    <row r="4" spans="1:11" ht="69.75" customHeight="1" x14ac:dyDescent="0.2">
      <c r="A4" s="276" t="s">
        <v>65</v>
      </c>
      <c r="B4" s="278" t="s">
        <v>65</v>
      </c>
      <c r="C4" s="276" t="s">
        <v>0</v>
      </c>
      <c r="D4" s="277" t="s">
        <v>807</v>
      </c>
      <c r="E4" s="277" t="s">
        <v>808</v>
      </c>
      <c r="F4" s="283" t="s">
        <v>809</v>
      </c>
      <c r="G4" s="276" t="s">
        <v>1</v>
      </c>
      <c r="H4" s="276"/>
      <c r="I4" s="276" t="s">
        <v>1114</v>
      </c>
      <c r="J4" s="276"/>
      <c r="K4" s="276" t="s">
        <v>44</v>
      </c>
    </row>
    <row r="5" spans="1:11" ht="56.45" customHeight="1" x14ac:dyDescent="0.2">
      <c r="A5" s="276"/>
      <c r="B5" s="278"/>
      <c r="C5" s="276"/>
      <c r="D5" s="277"/>
      <c r="E5" s="277"/>
      <c r="F5" s="283"/>
      <c r="G5" s="208" t="s">
        <v>2</v>
      </c>
      <c r="H5" s="208" t="s">
        <v>1115</v>
      </c>
      <c r="I5" s="208" t="s">
        <v>3</v>
      </c>
      <c r="J5" s="208" t="s">
        <v>33</v>
      </c>
      <c r="K5" s="276"/>
    </row>
    <row r="6" spans="1:11" ht="11.45" customHeight="1" x14ac:dyDescent="0.2">
      <c r="A6" s="78">
        <v>1</v>
      </c>
      <c r="B6" s="194">
        <v>1</v>
      </c>
      <c r="C6" s="78">
        <v>2</v>
      </c>
      <c r="D6" s="78">
        <v>3</v>
      </c>
      <c r="E6" s="212">
        <v>4</v>
      </c>
      <c r="F6" s="204">
        <v>5</v>
      </c>
      <c r="G6" s="78">
        <v>6</v>
      </c>
      <c r="H6" s="78">
        <v>7</v>
      </c>
      <c r="I6" s="78">
        <v>8</v>
      </c>
      <c r="J6" s="78">
        <v>9</v>
      </c>
      <c r="K6" s="78">
        <v>10</v>
      </c>
    </row>
    <row r="7" spans="1:11" ht="93.75" customHeight="1" x14ac:dyDescent="0.2">
      <c r="A7" s="112"/>
      <c r="B7" s="198" t="s">
        <v>1066</v>
      </c>
      <c r="C7" s="219" t="s">
        <v>1098</v>
      </c>
      <c r="D7" s="220" t="s">
        <v>1089</v>
      </c>
      <c r="E7" s="214" t="s">
        <v>927</v>
      </c>
      <c r="F7" s="220" t="s">
        <v>1088</v>
      </c>
      <c r="G7" s="77" t="s">
        <v>31</v>
      </c>
      <c r="H7" s="77" t="s">
        <v>11</v>
      </c>
      <c r="I7" s="187">
        <v>263049</v>
      </c>
      <c r="J7" s="187">
        <v>253699</v>
      </c>
      <c r="K7" s="66" t="s">
        <v>1087</v>
      </c>
    </row>
    <row r="8" spans="1:11" ht="96" customHeight="1" x14ac:dyDescent="0.2">
      <c r="A8" s="112" t="s">
        <v>66</v>
      </c>
      <c r="B8" s="198" t="s">
        <v>1067</v>
      </c>
      <c r="C8" s="195" t="s">
        <v>1072</v>
      </c>
      <c r="D8" s="66" t="s">
        <v>1040</v>
      </c>
      <c r="E8" s="213" t="s">
        <v>810</v>
      </c>
      <c r="F8" s="200" t="s">
        <v>1101</v>
      </c>
      <c r="G8" s="77" t="s">
        <v>46</v>
      </c>
      <c r="H8" s="77" t="s">
        <v>4</v>
      </c>
      <c r="I8" s="187">
        <f>(20240490)/1000*$I$3</f>
        <v>20240.490000000002</v>
      </c>
      <c r="J8" s="187">
        <f>I8-(53737)/1000*$I$3</f>
        <v>20186.753000000001</v>
      </c>
      <c r="K8" s="66" t="s">
        <v>1079</v>
      </c>
    </row>
    <row r="9" spans="1:11" ht="72" customHeight="1" x14ac:dyDescent="0.2">
      <c r="A9" s="112" t="s">
        <v>1046</v>
      </c>
      <c r="B9" s="198" t="s">
        <v>186</v>
      </c>
      <c r="C9" s="195" t="s">
        <v>1068</v>
      </c>
      <c r="D9" s="220" t="s">
        <v>1045</v>
      </c>
      <c r="E9" s="214" t="s">
        <v>575</v>
      </c>
      <c r="F9" s="210" t="s">
        <v>1096</v>
      </c>
      <c r="G9" s="77" t="s">
        <v>52</v>
      </c>
      <c r="H9" s="77" t="s">
        <v>63</v>
      </c>
      <c r="I9" s="187">
        <v>201397</v>
      </c>
      <c r="J9" s="187">
        <v>188954</v>
      </c>
      <c r="K9" s="66" t="s">
        <v>1100</v>
      </c>
    </row>
    <row r="10" spans="1:11" ht="72" customHeight="1" x14ac:dyDescent="0.2">
      <c r="A10" s="112" t="s">
        <v>757</v>
      </c>
      <c r="B10" s="198" t="s">
        <v>1065</v>
      </c>
      <c r="C10" s="195" t="s">
        <v>1109</v>
      </c>
      <c r="D10" s="220" t="s">
        <v>1045</v>
      </c>
      <c r="E10" s="214" t="s">
        <v>577</v>
      </c>
      <c r="F10" s="199" t="s">
        <v>1082</v>
      </c>
      <c r="G10" s="77" t="s">
        <v>488</v>
      </c>
      <c r="H10" s="77" t="s">
        <v>19</v>
      </c>
      <c r="I10" s="187">
        <f>(17803061)/1000*$I$3</f>
        <v>17803.061000000002</v>
      </c>
      <c r="J10" s="187">
        <f t="shared" ref="J10" si="0">I10-(0)/1000*$I$3</f>
        <v>17803.061000000002</v>
      </c>
      <c r="K10" s="66" t="s">
        <v>1083</v>
      </c>
    </row>
    <row r="11" spans="1:11" ht="144" x14ac:dyDescent="0.2">
      <c r="A11" s="112" t="s">
        <v>167</v>
      </c>
      <c r="B11" s="198" t="s">
        <v>934</v>
      </c>
      <c r="C11" s="195" t="s">
        <v>1073</v>
      </c>
      <c r="D11" s="220" t="s">
        <v>1042</v>
      </c>
      <c r="E11" s="214" t="s">
        <v>1041</v>
      </c>
      <c r="F11" s="199" t="s">
        <v>1093</v>
      </c>
      <c r="G11" s="77" t="s">
        <v>86</v>
      </c>
      <c r="H11" s="77" t="s">
        <v>95</v>
      </c>
      <c r="I11" s="187">
        <f>(3048480)/1000*$I$3</f>
        <v>3048.48</v>
      </c>
      <c r="J11" s="187">
        <f>I11-(0)/1000*$I$3</f>
        <v>3048.48</v>
      </c>
      <c r="K11" s="66" t="s">
        <v>1075</v>
      </c>
    </row>
    <row r="12" spans="1:11" ht="72" x14ac:dyDescent="0.2">
      <c r="A12" s="112" t="s">
        <v>705</v>
      </c>
      <c r="B12" s="198" t="s">
        <v>212</v>
      </c>
      <c r="C12" s="195" t="s">
        <v>1069</v>
      </c>
      <c r="D12" s="220" t="s">
        <v>1044</v>
      </c>
      <c r="E12" s="214" t="s">
        <v>596</v>
      </c>
      <c r="F12" s="223" t="s">
        <v>1112</v>
      </c>
      <c r="G12" s="77" t="s">
        <v>91</v>
      </c>
      <c r="H12" s="77" t="s">
        <v>1058</v>
      </c>
      <c r="I12" s="187">
        <f>(643437996)/1000*$I$3</f>
        <v>643437.99600000004</v>
      </c>
      <c r="J12" s="187">
        <f>I12-(323242749+25894212+30130843+582706+506567+6431012+9466678+2847445+3299873+1773039+730584+2798678+4434391+900000+2970163+8287018+5179344+1545849)/1000*$I$3</f>
        <v>212416.84500000003</v>
      </c>
      <c r="K12" s="66" t="s">
        <v>1078</v>
      </c>
    </row>
    <row r="13" spans="1:11" ht="76.5" customHeight="1" x14ac:dyDescent="0.2">
      <c r="A13" s="112" t="s">
        <v>1047</v>
      </c>
      <c r="B13" s="198" t="s">
        <v>328</v>
      </c>
      <c r="C13" s="219" t="s">
        <v>1109</v>
      </c>
      <c r="D13" s="220" t="s">
        <v>1045</v>
      </c>
      <c r="E13" s="214" t="s">
        <v>609</v>
      </c>
      <c r="F13" s="199" t="s">
        <v>1113</v>
      </c>
      <c r="G13" s="77" t="s">
        <v>137</v>
      </c>
      <c r="H13" s="77" t="s">
        <v>610</v>
      </c>
      <c r="I13" s="187">
        <f>(18037985+118305)/1000*$I$3</f>
        <v>18156.29</v>
      </c>
      <c r="J13" s="187">
        <f>I13-(11424321+45196)/1000*$I$3</f>
        <v>6686.773000000001</v>
      </c>
      <c r="K13" s="66" t="s">
        <v>1097</v>
      </c>
    </row>
    <row r="14" spans="1:11" ht="77.25" customHeight="1" x14ac:dyDescent="0.2">
      <c r="A14" s="112"/>
      <c r="B14" s="198" t="s">
        <v>330</v>
      </c>
      <c r="C14" s="219" t="s">
        <v>1109</v>
      </c>
      <c r="D14" s="220" t="s">
        <v>1045</v>
      </c>
      <c r="E14" s="214" t="s">
        <v>1049</v>
      </c>
      <c r="F14" s="199" t="s">
        <v>1050</v>
      </c>
      <c r="G14" s="77" t="s">
        <v>137</v>
      </c>
      <c r="H14" s="77" t="s">
        <v>610</v>
      </c>
      <c r="I14" s="187">
        <v>17436</v>
      </c>
      <c r="J14" s="187">
        <v>15853</v>
      </c>
      <c r="K14" s="203" t="s">
        <v>1085</v>
      </c>
    </row>
    <row r="15" spans="1:11" ht="73.5" customHeight="1" x14ac:dyDescent="0.2">
      <c r="A15" s="112" t="s">
        <v>1048</v>
      </c>
      <c r="B15" s="198" t="s">
        <v>356</v>
      </c>
      <c r="C15" s="219" t="s">
        <v>1109</v>
      </c>
      <c r="D15" s="220" t="s">
        <v>1045</v>
      </c>
      <c r="E15" s="214" t="s">
        <v>612</v>
      </c>
      <c r="F15" s="199" t="s">
        <v>1074</v>
      </c>
      <c r="G15" s="77" t="s">
        <v>95</v>
      </c>
      <c r="H15" s="77" t="s">
        <v>613</v>
      </c>
      <c r="I15" s="187">
        <f>(5033317+399809)/1000*$I$3</f>
        <v>5433.1260000000002</v>
      </c>
      <c r="J15" s="187">
        <f>I15-(1550269+696868+404745)/1000*$I$3</f>
        <v>2781.2440000000001</v>
      </c>
      <c r="K15" s="66" t="s">
        <v>1084</v>
      </c>
    </row>
    <row r="16" spans="1:11" ht="144" x14ac:dyDescent="0.2">
      <c r="A16" s="112" t="s">
        <v>168</v>
      </c>
      <c r="B16" s="198" t="s">
        <v>343</v>
      </c>
      <c r="C16" s="233" t="s">
        <v>1073</v>
      </c>
      <c r="D16" s="220" t="s">
        <v>1042</v>
      </c>
      <c r="E16" s="214" t="s">
        <v>916</v>
      </c>
      <c r="F16" s="199" t="s">
        <v>265</v>
      </c>
      <c r="G16" s="77" t="s">
        <v>103</v>
      </c>
      <c r="H16" s="201" t="s">
        <v>915</v>
      </c>
      <c r="I16" s="187">
        <f>(3942141)/1000*$I$3</f>
        <v>3942.1410000000001</v>
      </c>
      <c r="J16" s="187">
        <f t="shared" ref="J16" si="1">I16-(0)/1000*$I$3</f>
        <v>3942.1410000000001</v>
      </c>
      <c r="K16" s="66" t="s">
        <v>1075</v>
      </c>
    </row>
    <row r="17" spans="1:100" ht="60" x14ac:dyDescent="0.2">
      <c r="A17" s="112" t="s">
        <v>762</v>
      </c>
      <c r="B17" s="198" t="s">
        <v>1043</v>
      </c>
      <c r="C17" s="279" t="s">
        <v>1116</v>
      </c>
      <c r="D17" s="281" t="s">
        <v>1111</v>
      </c>
      <c r="E17" s="213" t="s">
        <v>1090</v>
      </c>
      <c r="F17" s="66" t="s">
        <v>1091</v>
      </c>
      <c r="G17" s="112" t="s">
        <v>61</v>
      </c>
      <c r="H17" s="112" t="s">
        <v>11</v>
      </c>
      <c r="I17" s="197">
        <v>758</v>
      </c>
      <c r="J17" s="197">
        <v>758</v>
      </c>
      <c r="K17" s="66" t="s">
        <v>1092</v>
      </c>
    </row>
    <row r="18" spans="1:100" s="190" customFormat="1" ht="12" hidden="1" customHeight="1" x14ac:dyDescent="0.2">
      <c r="A18" s="205"/>
      <c r="B18" s="198" t="s">
        <v>362</v>
      </c>
      <c r="C18" s="280"/>
      <c r="D18" s="282"/>
      <c r="E18" s="215"/>
      <c r="F18" s="191"/>
      <c r="G18" s="205"/>
      <c r="H18" s="206"/>
      <c r="I18" s="207">
        <f t="shared" ref="I18:I23" si="2">(0)/1000*$I$3</f>
        <v>0</v>
      </c>
      <c r="J18" s="207">
        <f t="shared" ref="J18:J23" si="3">I18-(0)/1000*$I$3</f>
        <v>0</v>
      </c>
      <c r="K18" s="221"/>
    </row>
    <row r="19" spans="1:100" s="190" customFormat="1" ht="12" hidden="1" customHeight="1" x14ac:dyDescent="0.2">
      <c r="A19" s="205"/>
      <c r="B19" s="198" t="s">
        <v>363</v>
      </c>
      <c r="C19" s="280"/>
      <c r="D19" s="282"/>
      <c r="E19" s="215"/>
      <c r="F19" s="191"/>
      <c r="G19" s="205"/>
      <c r="H19" s="206"/>
      <c r="I19" s="207">
        <f t="shared" si="2"/>
        <v>0</v>
      </c>
      <c r="J19" s="207">
        <f t="shared" si="3"/>
        <v>0</v>
      </c>
      <c r="K19" s="221"/>
    </row>
    <row r="20" spans="1:100" s="190" customFormat="1" ht="12" hidden="1" customHeight="1" x14ac:dyDescent="0.2">
      <c r="A20" s="205"/>
      <c r="B20" s="198" t="s">
        <v>392</v>
      </c>
      <c r="C20" s="280"/>
      <c r="D20" s="282"/>
      <c r="E20" s="215"/>
      <c r="F20" s="191"/>
      <c r="G20" s="205"/>
      <c r="H20" s="206"/>
      <c r="I20" s="207">
        <f t="shared" si="2"/>
        <v>0</v>
      </c>
      <c r="J20" s="207">
        <f t="shared" si="3"/>
        <v>0</v>
      </c>
      <c r="K20" s="221"/>
    </row>
    <row r="21" spans="1:100" s="190" customFormat="1" ht="12" hidden="1" customHeight="1" x14ac:dyDescent="0.2">
      <c r="A21" s="205"/>
      <c r="B21" s="198" t="s">
        <v>393</v>
      </c>
      <c r="C21" s="280"/>
      <c r="D21" s="282"/>
      <c r="E21" s="215"/>
      <c r="F21" s="191"/>
      <c r="G21" s="205"/>
      <c r="H21" s="206"/>
      <c r="I21" s="207">
        <f t="shared" si="2"/>
        <v>0</v>
      </c>
      <c r="J21" s="207">
        <f t="shared" si="3"/>
        <v>0</v>
      </c>
      <c r="K21" s="221"/>
    </row>
    <row r="22" spans="1:100" s="190" customFormat="1" ht="12" hidden="1" customHeight="1" x14ac:dyDescent="0.2">
      <c r="A22" s="205"/>
      <c r="B22" s="198" t="s">
        <v>394</v>
      </c>
      <c r="C22" s="280"/>
      <c r="D22" s="282"/>
      <c r="E22" s="215"/>
      <c r="F22" s="191"/>
      <c r="G22" s="205"/>
      <c r="H22" s="206"/>
      <c r="I22" s="207">
        <f t="shared" si="2"/>
        <v>0</v>
      </c>
      <c r="J22" s="207">
        <f t="shared" si="3"/>
        <v>0</v>
      </c>
      <c r="K22" s="221"/>
    </row>
    <row r="23" spans="1:100" s="190" customFormat="1" ht="12" hidden="1" customHeight="1" x14ac:dyDescent="0.2">
      <c r="A23" s="205"/>
      <c r="B23" s="198" t="s">
        <v>395</v>
      </c>
      <c r="C23" s="280"/>
      <c r="D23" s="282"/>
      <c r="E23" s="215"/>
      <c r="F23" s="191"/>
      <c r="G23" s="205"/>
      <c r="H23" s="206"/>
      <c r="I23" s="207">
        <f t="shared" si="2"/>
        <v>0</v>
      </c>
      <c r="J23" s="207">
        <f t="shared" si="3"/>
        <v>0</v>
      </c>
      <c r="K23" s="221"/>
    </row>
    <row r="24" spans="1:100" ht="72" x14ac:dyDescent="0.2">
      <c r="A24" s="188"/>
      <c r="B24" s="198" t="s">
        <v>362</v>
      </c>
      <c r="C24" s="280"/>
      <c r="D24" s="282"/>
      <c r="E24" s="214" t="s">
        <v>1059</v>
      </c>
      <c r="F24" s="199" t="s">
        <v>1064</v>
      </c>
      <c r="G24" s="113" t="s">
        <v>63</v>
      </c>
      <c r="H24" s="202" t="s">
        <v>63</v>
      </c>
      <c r="I24" s="218">
        <v>727</v>
      </c>
      <c r="J24" s="218">
        <v>727</v>
      </c>
      <c r="K24" s="66" t="s">
        <v>1086</v>
      </c>
    </row>
    <row r="25" spans="1:100" s="190" customFormat="1" ht="96" x14ac:dyDescent="0.2">
      <c r="A25" s="205"/>
      <c r="B25" s="198" t="s">
        <v>363</v>
      </c>
      <c r="C25" s="209" t="s">
        <v>1071</v>
      </c>
      <c r="D25" s="220" t="s">
        <v>1080</v>
      </c>
      <c r="E25" s="216" t="s">
        <v>1052</v>
      </c>
      <c r="F25" s="200" t="s">
        <v>1094</v>
      </c>
      <c r="G25" s="113" t="s">
        <v>1053</v>
      </c>
      <c r="H25" s="113" t="s">
        <v>15</v>
      </c>
      <c r="I25" s="197">
        <f>(3081392)/1000*$I$3</f>
        <v>3081.3919999999998</v>
      </c>
      <c r="J25" s="197">
        <f t="shared" ref="J25" si="4">I25-(0)/1000*$I$3</f>
        <v>3081.3919999999998</v>
      </c>
      <c r="K25" s="210" t="s">
        <v>1076</v>
      </c>
    </row>
    <row r="26" spans="1:100" s="193" customFormat="1" ht="120" customHeight="1" x14ac:dyDescent="0.2">
      <c r="A26" s="113"/>
      <c r="B26" s="198" t="s">
        <v>392</v>
      </c>
      <c r="C26" s="209" t="s">
        <v>1070</v>
      </c>
      <c r="D26" s="210" t="s">
        <v>1061</v>
      </c>
      <c r="E26" s="216" t="s">
        <v>1060</v>
      </c>
      <c r="F26" s="199" t="s">
        <v>1099</v>
      </c>
      <c r="G26" s="113" t="s">
        <v>598</v>
      </c>
      <c r="H26" s="113" t="s">
        <v>1054</v>
      </c>
      <c r="I26" s="197">
        <f>(508475)/1000*$I$3</f>
        <v>508.47500000000002</v>
      </c>
      <c r="J26" s="197">
        <f>I26-(0/1000*$I$3)</f>
        <v>508.47500000000002</v>
      </c>
      <c r="K26" s="210" t="s">
        <v>1081</v>
      </c>
    </row>
    <row r="27" spans="1:100" s="190" customFormat="1" ht="96" x14ac:dyDescent="0.2">
      <c r="A27" s="205"/>
      <c r="B27" s="198" t="s">
        <v>393</v>
      </c>
      <c r="C27" s="219" t="s">
        <v>1071</v>
      </c>
      <c r="D27" s="220" t="s">
        <v>1080</v>
      </c>
      <c r="E27" s="216" t="s">
        <v>1055</v>
      </c>
      <c r="F27" s="200" t="s">
        <v>1095</v>
      </c>
      <c r="G27" s="113" t="s">
        <v>872</v>
      </c>
      <c r="H27" s="113" t="s">
        <v>1056</v>
      </c>
      <c r="I27" s="197">
        <f>(744462)/1000*$I$3</f>
        <v>744.46199999999999</v>
      </c>
      <c r="J27" s="197">
        <f t="shared" ref="J27" si="5">I27-(0)/1000*$I$3</f>
        <v>744.46199999999999</v>
      </c>
      <c r="K27" s="210" t="s">
        <v>1077</v>
      </c>
    </row>
    <row r="28" spans="1:100" s="196" customFormat="1" ht="108" x14ac:dyDescent="0.2">
      <c r="A28" s="113"/>
      <c r="B28" s="198" t="s">
        <v>394</v>
      </c>
      <c r="C28" s="209" t="s">
        <v>1070</v>
      </c>
      <c r="D28" s="210" t="s">
        <v>1110</v>
      </c>
      <c r="E28" s="216" t="s">
        <v>1062</v>
      </c>
      <c r="F28" s="199" t="s">
        <v>1063</v>
      </c>
      <c r="G28" s="113" t="s">
        <v>1057</v>
      </c>
      <c r="H28" s="113" t="s">
        <v>1051</v>
      </c>
      <c r="I28" s="197">
        <f>(662605.23)/1000*$I$3</f>
        <v>662.60523000000001</v>
      </c>
      <c r="J28" s="197">
        <f>I28-(0/1000*$I$3)</f>
        <v>662.60523000000001</v>
      </c>
      <c r="K28" s="222" t="s">
        <v>1081</v>
      </c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</row>
    <row r="29" spans="1:100" ht="72" x14ac:dyDescent="0.2">
      <c r="A29" s="211"/>
      <c r="B29" s="198" t="s">
        <v>395</v>
      </c>
      <c r="C29" s="209" t="s">
        <v>1102</v>
      </c>
      <c r="D29" s="210" t="s">
        <v>1103</v>
      </c>
      <c r="E29" s="216" t="s">
        <v>1104</v>
      </c>
      <c r="F29" s="210" t="s">
        <v>1105</v>
      </c>
      <c r="G29" s="113" t="s">
        <v>1106</v>
      </c>
      <c r="H29" s="202" t="s">
        <v>1107</v>
      </c>
      <c r="I29" s="197">
        <v>2353</v>
      </c>
      <c r="J29" s="197">
        <v>2353</v>
      </c>
      <c r="K29" s="210" t="s">
        <v>1108</v>
      </c>
    </row>
    <row r="30" spans="1:100" ht="96" x14ac:dyDescent="0.2">
      <c r="B30" s="198" t="s">
        <v>396</v>
      </c>
      <c r="C30" s="209" t="s">
        <v>1117</v>
      </c>
      <c r="D30" s="210" t="s">
        <v>1118</v>
      </c>
      <c r="E30" s="235" t="s">
        <v>1119</v>
      </c>
      <c r="F30" s="210" t="s">
        <v>1120</v>
      </c>
      <c r="G30" s="113" t="s">
        <v>1107</v>
      </c>
      <c r="H30" s="202" t="s">
        <v>1121</v>
      </c>
      <c r="I30" s="197">
        <v>5400</v>
      </c>
      <c r="J30" s="197">
        <v>5400</v>
      </c>
      <c r="K30" s="66" t="s">
        <v>1134</v>
      </c>
    </row>
    <row r="31" spans="1:100" ht="72" x14ac:dyDescent="0.2">
      <c r="A31" s="60" t="s">
        <v>806</v>
      </c>
      <c r="B31" s="198" t="s">
        <v>397</v>
      </c>
      <c r="C31" s="209" t="s">
        <v>1122</v>
      </c>
      <c r="D31" s="210" t="s">
        <v>1123</v>
      </c>
      <c r="E31" s="235" t="s">
        <v>1124</v>
      </c>
      <c r="F31" s="210" t="s">
        <v>1125</v>
      </c>
      <c r="G31" s="113" t="s">
        <v>1126</v>
      </c>
      <c r="H31" s="202" t="s">
        <v>1127</v>
      </c>
      <c r="I31" s="197">
        <v>50</v>
      </c>
      <c r="J31" s="197">
        <v>50</v>
      </c>
      <c r="K31" s="66" t="s">
        <v>1079</v>
      </c>
    </row>
    <row r="32" spans="1:100" ht="96" x14ac:dyDescent="0.2">
      <c r="B32" s="198" t="s">
        <v>398</v>
      </c>
      <c r="C32" s="209" t="s">
        <v>1128</v>
      </c>
      <c r="D32" s="210" t="s">
        <v>1129</v>
      </c>
      <c r="E32" s="235" t="s">
        <v>1130</v>
      </c>
      <c r="F32" s="210" t="s">
        <v>1131</v>
      </c>
      <c r="G32" s="236" t="s">
        <v>1132</v>
      </c>
      <c r="H32" s="236" t="s">
        <v>1133</v>
      </c>
      <c r="I32" s="197">
        <v>6100</v>
      </c>
      <c r="J32" s="197">
        <v>6100</v>
      </c>
      <c r="K32" s="237" t="s">
        <v>1135</v>
      </c>
    </row>
    <row r="33" spans="2:11" ht="72" x14ac:dyDescent="0.2">
      <c r="B33" s="198" t="s">
        <v>403</v>
      </c>
      <c r="C33" s="209" t="s">
        <v>1122</v>
      </c>
      <c r="D33" s="210" t="s">
        <v>1136</v>
      </c>
      <c r="E33" s="235" t="s">
        <v>1137</v>
      </c>
      <c r="F33" s="210" t="s">
        <v>1138</v>
      </c>
      <c r="G33" s="236" t="s">
        <v>1139</v>
      </c>
      <c r="H33" s="236" t="s">
        <v>1139</v>
      </c>
      <c r="I33" s="238">
        <v>487</v>
      </c>
      <c r="J33" s="238">
        <v>487</v>
      </c>
      <c r="K33" s="66" t="s">
        <v>1185</v>
      </c>
    </row>
    <row r="34" spans="2:11" ht="84" x14ac:dyDescent="0.2">
      <c r="B34" s="198" t="s">
        <v>408</v>
      </c>
      <c r="C34" s="209" t="s">
        <v>1140</v>
      </c>
      <c r="D34" s="210" t="s">
        <v>1141</v>
      </c>
      <c r="E34" s="235" t="s">
        <v>1142</v>
      </c>
      <c r="F34" s="210" t="s">
        <v>1143</v>
      </c>
      <c r="G34" s="113" t="s">
        <v>1144</v>
      </c>
      <c r="H34" s="202" t="s">
        <v>1145</v>
      </c>
      <c r="I34" s="197">
        <v>48556</v>
      </c>
      <c r="J34" s="197">
        <v>29399</v>
      </c>
      <c r="K34" s="66" t="s">
        <v>1143</v>
      </c>
    </row>
    <row r="35" spans="2:11" ht="96" x14ac:dyDescent="0.2">
      <c r="B35" s="198" t="s">
        <v>416</v>
      </c>
      <c r="C35" s="209" t="s">
        <v>1146</v>
      </c>
      <c r="D35" s="210" t="s">
        <v>1147</v>
      </c>
      <c r="E35" s="235" t="s">
        <v>1148</v>
      </c>
      <c r="F35" s="210" t="s">
        <v>1149</v>
      </c>
      <c r="G35" s="113" t="s">
        <v>1144</v>
      </c>
      <c r="H35" s="202" t="s">
        <v>1150</v>
      </c>
      <c r="I35" s="197">
        <v>148190</v>
      </c>
      <c r="J35" s="197">
        <v>126060</v>
      </c>
      <c r="K35" s="66" t="s">
        <v>1149</v>
      </c>
    </row>
    <row r="36" spans="2:11" ht="108" x14ac:dyDescent="0.2">
      <c r="B36" s="198" t="s">
        <v>417</v>
      </c>
      <c r="C36" s="209" t="s">
        <v>1151</v>
      </c>
      <c r="D36" s="210" t="s">
        <v>1152</v>
      </c>
      <c r="E36" s="235" t="s">
        <v>1153</v>
      </c>
      <c r="F36" s="210" t="s">
        <v>1154</v>
      </c>
      <c r="G36" s="113" t="s">
        <v>1155</v>
      </c>
      <c r="H36" s="202" t="s">
        <v>1156</v>
      </c>
      <c r="I36" s="197">
        <v>211644</v>
      </c>
      <c r="J36" s="197">
        <v>211644</v>
      </c>
      <c r="K36" s="66" t="s">
        <v>1079</v>
      </c>
    </row>
    <row r="37" spans="2:11" ht="72" x14ac:dyDescent="0.2">
      <c r="B37" s="198" t="s">
        <v>434</v>
      </c>
      <c r="C37" s="209" t="s">
        <v>1157</v>
      </c>
      <c r="D37" s="210" t="s">
        <v>1158</v>
      </c>
      <c r="E37" s="235" t="s">
        <v>1159</v>
      </c>
      <c r="F37" s="234" t="s">
        <v>1160</v>
      </c>
      <c r="G37" s="113" t="s">
        <v>1161</v>
      </c>
      <c r="H37" s="113" t="s">
        <v>1162</v>
      </c>
      <c r="I37" s="197">
        <v>2077</v>
      </c>
      <c r="J37" s="197">
        <v>2077</v>
      </c>
      <c r="K37" s="66" t="s">
        <v>1160</v>
      </c>
    </row>
    <row r="38" spans="2:11" ht="72" x14ac:dyDescent="0.2">
      <c r="B38" s="198" t="s">
        <v>1184</v>
      </c>
      <c r="C38" s="209" t="s">
        <v>1163</v>
      </c>
      <c r="D38" s="210" t="s">
        <v>1164</v>
      </c>
      <c r="E38" s="235" t="s">
        <v>1165</v>
      </c>
      <c r="F38" s="210" t="s">
        <v>1166</v>
      </c>
      <c r="G38" s="113" t="s">
        <v>1161</v>
      </c>
      <c r="H38" s="202" t="s">
        <v>1167</v>
      </c>
      <c r="I38" s="197">
        <v>305577</v>
      </c>
      <c r="J38" s="197">
        <v>305577</v>
      </c>
      <c r="K38" s="66" t="s">
        <v>1079</v>
      </c>
    </row>
    <row r="39" spans="2:11" ht="72" x14ac:dyDescent="0.2">
      <c r="B39" s="198" t="s">
        <v>435</v>
      </c>
      <c r="C39" s="209" t="s">
        <v>1163</v>
      </c>
      <c r="D39" s="210" t="s">
        <v>1168</v>
      </c>
      <c r="E39" s="235" t="s">
        <v>1169</v>
      </c>
      <c r="F39" s="210" t="s">
        <v>1170</v>
      </c>
      <c r="G39" s="113" t="s">
        <v>1171</v>
      </c>
      <c r="H39" s="202" t="s">
        <v>1172</v>
      </c>
      <c r="I39" s="197">
        <v>323207</v>
      </c>
      <c r="J39" s="197">
        <v>323207</v>
      </c>
      <c r="K39" s="66" t="s">
        <v>1079</v>
      </c>
    </row>
    <row r="40" spans="2:11" ht="84" x14ac:dyDescent="0.2">
      <c r="B40" s="198" t="s">
        <v>436</v>
      </c>
      <c r="C40" s="209" t="s">
        <v>1173</v>
      </c>
      <c r="D40" s="210" t="s">
        <v>1174</v>
      </c>
      <c r="E40" s="235" t="s">
        <v>1175</v>
      </c>
      <c r="F40" s="210" t="s">
        <v>1176</v>
      </c>
      <c r="G40" s="113" t="s">
        <v>1177</v>
      </c>
      <c r="H40" s="202" t="s">
        <v>1178</v>
      </c>
      <c r="I40" s="197">
        <v>55831</v>
      </c>
      <c r="J40" s="197">
        <v>55831</v>
      </c>
      <c r="K40" s="66" t="s">
        <v>1079</v>
      </c>
    </row>
    <row r="41" spans="2:11" ht="96" x14ac:dyDescent="0.2">
      <c r="B41" s="198" t="s">
        <v>437</v>
      </c>
      <c r="C41" s="239" t="s">
        <v>1179</v>
      </c>
      <c r="D41" s="240" t="s">
        <v>1180</v>
      </c>
      <c r="E41" s="241" t="s">
        <v>1181</v>
      </c>
      <c r="F41" s="210" t="s">
        <v>1182</v>
      </c>
      <c r="G41" s="236" t="s">
        <v>1183</v>
      </c>
      <c r="H41" s="236" t="s">
        <v>1167</v>
      </c>
      <c r="I41" s="197">
        <v>4656</v>
      </c>
      <c r="J41" s="197">
        <v>4656</v>
      </c>
      <c r="K41" s="66" t="s">
        <v>1079</v>
      </c>
    </row>
    <row r="42" spans="2:11" ht="132" x14ac:dyDescent="0.2">
      <c r="B42" s="198" t="s">
        <v>447</v>
      </c>
      <c r="C42" s="242" t="s">
        <v>1163</v>
      </c>
      <c r="D42" s="243" t="s">
        <v>1186</v>
      </c>
      <c r="E42" s="244" t="s">
        <v>1187</v>
      </c>
      <c r="F42" s="223" t="s">
        <v>1188</v>
      </c>
      <c r="G42" s="245" t="s">
        <v>1183</v>
      </c>
      <c r="H42" s="245" t="s">
        <v>1167</v>
      </c>
      <c r="I42" s="246">
        <v>3810</v>
      </c>
      <c r="J42" s="246">
        <v>3810</v>
      </c>
      <c r="K42" s="237" t="s">
        <v>1189</v>
      </c>
    </row>
    <row r="43" spans="2:11" ht="72" x14ac:dyDescent="0.2">
      <c r="B43" s="198" t="s">
        <v>450</v>
      </c>
      <c r="C43" s="242" t="s">
        <v>1190</v>
      </c>
      <c r="D43" s="223" t="s">
        <v>1191</v>
      </c>
      <c r="E43" s="247" t="s">
        <v>1192</v>
      </c>
      <c r="F43" s="223" t="s">
        <v>1193</v>
      </c>
      <c r="G43" s="245" t="s">
        <v>1194</v>
      </c>
      <c r="H43" s="245" t="s">
        <v>1195</v>
      </c>
      <c r="I43" s="246">
        <v>15831</v>
      </c>
      <c r="J43" s="246">
        <v>11294</v>
      </c>
      <c r="K43" s="66" t="s">
        <v>1206</v>
      </c>
    </row>
    <row r="44" spans="2:11" ht="144" x14ac:dyDescent="0.2">
      <c r="B44" s="198" t="s">
        <v>543</v>
      </c>
      <c r="C44" s="248" t="s">
        <v>1196</v>
      </c>
      <c r="D44" s="223" t="s">
        <v>1197</v>
      </c>
      <c r="E44" s="247" t="s">
        <v>1198</v>
      </c>
      <c r="F44" s="223" t="s">
        <v>1199</v>
      </c>
      <c r="G44" s="249" t="s">
        <v>1200</v>
      </c>
      <c r="H44" s="249" t="s">
        <v>1156</v>
      </c>
      <c r="I44" s="246">
        <v>539</v>
      </c>
      <c r="J44" s="246">
        <v>539</v>
      </c>
      <c r="K44" s="66" t="s">
        <v>1207</v>
      </c>
    </row>
    <row r="45" spans="2:11" ht="72" x14ac:dyDescent="0.2">
      <c r="B45" s="198" t="s">
        <v>552</v>
      </c>
      <c r="C45" s="248" t="s">
        <v>1201</v>
      </c>
      <c r="D45" s="223" t="s">
        <v>1202</v>
      </c>
      <c r="E45" s="247" t="s">
        <v>1203</v>
      </c>
      <c r="F45" s="223" t="s">
        <v>1204</v>
      </c>
      <c r="G45" s="249" t="s">
        <v>1156</v>
      </c>
      <c r="H45" s="249" t="s">
        <v>1205</v>
      </c>
      <c r="I45" s="246">
        <v>206059</v>
      </c>
      <c r="J45" s="246">
        <v>0</v>
      </c>
      <c r="K45" s="66" t="s">
        <v>1079</v>
      </c>
    </row>
    <row r="46" spans="2:11" ht="96" x14ac:dyDescent="0.2">
      <c r="B46" s="286">
        <v>34</v>
      </c>
      <c r="C46" s="248" t="s">
        <v>1208</v>
      </c>
      <c r="D46" s="284" t="s">
        <v>1174</v>
      </c>
      <c r="E46" s="247" t="s">
        <v>1209</v>
      </c>
      <c r="F46" s="223" t="s">
        <v>1210</v>
      </c>
      <c r="G46" s="249" t="s">
        <v>1211</v>
      </c>
      <c r="H46" s="249" t="s">
        <v>1212</v>
      </c>
      <c r="I46" s="246">
        <v>28614</v>
      </c>
      <c r="J46" s="246">
        <v>28614</v>
      </c>
      <c r="K46" s="237" t="s">
        <v>1189</v>
      </c>
    </row>
    <row r="47" spans="2:11" ht="108" x14ac:dyDescent="0.2">
      <c r="B47" s="286">
        <v>35</v>
      </c>
      <c r="C47" s="285" t="s">
        <v>1213</v>
      </c>
      <c r="D47" s="223" t="s">
        <v>1214</v>
      </c>
      <c r="E47" s="247" t="s">
        <v>1215</v>
      </c>
      <c r="F47" s="223" t="s">
        <v>1216</v>
      </c>
      <c r="G47" s="249" t="s">
        <v>1217</v>
      </c>
      <c r="H47" s="249"/>
      <c r="I47" s="246">
        <v>400781</v>
      </c>
      <c r="J47" s="246">
        <v>250026</v>
      </c>
      <c r="K47" s="250" t="s">
        <v>1218</v>
      </c>
    </row>
  </sheetData>
  <mergeCells count="11">
    <mergeCell ref="G4:H4"/>
    <mergeCell ref="E4:E5"/>
    <mergeCell ref="F4:F5"/>
    <mergeCell ref="I4:J4"/>
    <mergeCell ref="K4:K5"/>
    <mergeCell ref="A4:A5"/>
    <mergeCell ref="C4:C5"/>
    <mergeCell ref="D4:D5"/>
    <mergeCell ref="B4:B5"/>
    <mergeCell ref="C17:C24"/>
    <mergeCell ref="D17:D24"/>
  </mergeCells>
  <phoneticPr fontId="16" type="noConversion"/>
  <pageMargins left="0.11811023622047245" right="0.11811023622047245" top="0.27559055118110237" bottom="0.27559055118110237" header="0.31496062992125984" footer="0.11811023622047245"/>
  <pageSetup paperSize="9" fitToHeight="207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старый вар</vt:lpstr>
      <vt:lpstr>новый вар-т</vt:lpstr>
      <vt:lpstr>2009-2025</vt:lpstr>
      <vt:lpstr>'2009-2025'!Заголовки_для_печати</vt:lpstr>
      <vt:lpstr>'новый вар-т'!Заголовки_для_печати</vt:lpstr>
      <vt:lpstr>'2009-2025'!Область_печати</vt:lpstr>
      <vt:lpstr>'новый вар-т'!Область_печати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С. Пермякова</dc:creator>
  <cp:lastModifiedBy>Елена В. Петрова</cp:lastModifiedBy>
  <cp:lastPrinted>2020-02-06T07:27:12Z</cp:lastPrinted>
  <dcterms:created xsi:type="dcterms:W3CDTF">2016-06-27T08:32:23Z</dcterms:created>
  <dcterms:modified xsi:type="dcterms:W3CDTF">2026-01-23T02:47:42Z</dcterms:modified>
</cp:coreProperties>
</file>