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Сайт\ОБЪЕКТЫ\ОПЫТ\"/>
    </mc:Choice>
  </mc:AlternateContent>
  <xr:revisionPtr revIDLastSave="0" documentId="13_ncr:1_{D8F5211D-1AD5-4B30-8CA5-D5A5DE6D14F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старый вар" sheetId="2" state="hidden" r:id="rId1"/>
    <sheet name="новый вар-т" sheetId="1" state="hidden" r:id="rId2"/>
    <sheet name="2008-2025" sheetId="5" r:id="rId3"/>
  </sheets>
  <definedNames>
    <definedName name="_xlnm.Print_Titles" localSheetId="1">'новый вар-т'!$6:$8</definedName>
    <definedName name="_xlnm.Print_Area" localSheetId="2">'2008-2025'!$A$1:$J$295</definedName>
    <definedName name="_xlnm.Print_Area" localSheetId="1">'новый вар-т'!$A$1:$I$224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2" i="5" l="1"/>
  <c r="I135" i="5" l="1"/>
  <c r="I30" i="5" l="1"/>
  <c r="I110" i="5" l="1"/>
  <c r="I109" i="5"/>
  <c r="I232" i="5"/>
  <c r="I231" i="5" l="1"/>
  <c r="I230" i="5"/>
  <c r="I229" i="5"/>
  <c r="I227" i="5"/>
  <c r="I226" i="5"/>
  <c r="I224" i="5"/>
  <c r="I223" i="5"/>
  <c r="I222" i="5"/>
  <c r="I221" i="5"/>
  <c r="I220" i="5"/>
  <c r="I219" i="5"/>
  <c r="I218" i="5"/>
  <c r="I216" i="5"/>
  <c r="I214" i="5"/>
  <c r="I212" i="5"/>
  <c r="I207" i="5"/>
  <c r="I205" i="5"/>
  <c r="I204" i="5"/>
  <c r="I203" i="5"/>
  <c r="I201" i="5"/>
  <c r="I200" i="5"/>
  <c r="I198" i="5"/>
  <c r="I197" i="5"/>
  <c r="I196" i="5"/>
  <c r="I195" i="5"/>
  <c r="I194" i="5"/>
  <c r="I193" i="5"/>
  <c r="I192" i="5"/>
  <c r="I191" i="5"/>
  <c r="I190" i="5"/>
  <c r="I188" i="5"/>
  <c r="I187" i="5"/>
  <c r="I185" i="5"/>
  <c r="I184" i="5"/>
  <c r="I183" i="5"/>
  <c r="I182" i="5"/>
  <c r="I181" i="5"/>
  <c r="I180" i="5"/>
  <c r="I177" i="5"/>
  <c r="I176" i="5"/>
  <c r="I175" i="5"/>
  <c r="I174" i="5"/>
  <c r="I173" i="5"/>
  <c r="I171" i="5"/>
  <c r="I166" i="5"/>
  <c r="I165" i="5"/>
  <c r="I162" i="5"/>
  <c r="I161" i="5"/>
  <c r="I160" i="5"/>
  <c r="I159" i="5"/>
  <c r="I158" i="5"/>
  <c r="I157" i="5"/>
  <c r="I155" i="5"/>
  <c r="I154" i="5"/>
  <c r="I153" i="5"/>
  <c r="I152" i="5"/>
  <c r="I148" i="5"/>
  <c r="I146" i="5"/>
  <c r="I145" i="5"/>
  <c r="I144" i="5"/>
  <c r="I143" i="5"/>
  <c r="I142" i="5"/>
  <c r="I141" i="5"/>
  <c r="I140" i="5"/>
  <c r="I138" i="5"/>
  <c r="I136" i="5"/>
  <c r="I134" i="5"/>
  <c r="I133" i="5"/>
  <c r="I132" i="5"/>
  <c r="I131" i="5"/>
  <c r="I130" i="5"/>
  <c r="I129" i="5"/>
  <c r="I128" i="5"/>
  <c r="I126" i="5"/>
  <c r="I123" i="5"/>
  <c r="I122" i="5"/>
  <c r="I119" i="5"/>
  <c r="I117" i="5"/>
  <c r="I116" i="5"/>
  <c r="I115" i="5"/>
  <c r="I113" i="5"/>
  <c r="I112" i="5"/>
  <c r="I111" i="5"/>
  <c r="I95" i="5"/>
  <c r="I93" i="5"/>
  <c r="I91" i="5"/>
  <c r="I89" i="5"/>
  <c r="I88" i="5"/>
  <c r="I86" i="5"/>
  <c r="I85" i="5"/>
  <c r="I84" i="5"/>
  <c r="I83" i="5"/>
  <c r="I82" i="5"/>
  <c r="I80" i="5"/>
  <c r="I79" i="5"/>
  <c r="I78" i="5"/>
  <c r="I76" i="5"/>
  <c r="I74" i="5"/>
  <c r="I73" i="5"/>
  <c r="I72" i="5"/>
  <c r="I71" i="5"/>
  <c r="I70" i="5"/>
  <c r="I66" i="5"/>
  <c r="I65" i="5"/>
  <c r="I64" i="5"/>
  <c r="I63" i="5"/>
  <c r="I62" i="5"/>
  <c r="I61" i="5"/>
  <c r="I60" i="5"/>
  <c r="I59" i="5"/>
  <c r="I58" i="5"/>
  <c r="I57" i="5"/>
  <c r="I56" i="5"/>
  <c r="I55" i="5"/>
  <c r="I48" i="5"/>
  <c r="I47" i="5"/>
  <c r="I46" i="5"/>
  <c r="I45" i="5"/>
  <c r="I43" i="5"/>
  <c r="I42" i="5"/>
  <c r="I41" i="5"/>
  <c r="I36" i="5"/>
  <c r="I32" i="5"/>
  <c r="I31" i="5"/>
  <c r="I27" i="5"/>
  <c r="I26" i="5"/>
  <c r="I25" i="5"/>
  <c r="I24" i="5"/>
  <c r="I20" i="5"/>
  <c r="I17" i="5"/>
  <c r="I15" i="5"/>
  <c r="I14" i="5"/>
  <c r="H118" i="1" l="1"/>
  <c r="I118" i="1" s="1"/>
  <c r="F221" i="2" l="1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5" i="2"/>
  <c r="G135" i="2" s="1"/>
  <c r="F134" i="2"/>
  <c r="G134" i="2" s="1"/>
  <c r="F133" i="2"/>
  <c r="G133" i="2" s="1"/>
  <c r="F132" i="2"/>
  <c r="G132" i="2" s="1"/>
  <c r="F131" i="2"/>
  <c r="G131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2" i="2"/>
  <c r="G82" i="2" s="1"/>
  <c r="F81" i="2"/>
  <c r="G81" i="2" s="1"/>
  <c r="F80" i="2"/>
  <c r="G80" i="2" s="1"/>
  <c r="F79" i="2"/>
  <c r="G79" i="2" s="1"/>
  <c r="F78" i="2"/>
  <c r="G78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1" i="2"/>
  <c r="G61" i="2" s="1"/>
  <c r="F60" i="2"/>
  <c r="G60" i="2" s="1"/>
  <c r="F59" i="2"/>
  <c r="G59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H154" i="1" l="1"/>
  <c r="I154" i="1" s="1"/>
  <c r="H68" i="1"/>
  <c r="H67" i="1"/>
  <c r="H65" i="1"/>
  <c r="H63" i="1"/>
  <c r="H44" i="1"/>
  <c r="I44" i="1" s="1"/>
  <c r="H160" i="1"/>
  <c r="I160" i="1" s="1"/>
  <c r="H159" i="1"/>
  <c r="I159" i="1" s="1"/>
  <c r="H220" i="1"/>
  <c r="H211" i="1"/>
  <c r="I211" i="1" s="1"/>
  <c r="H155" i="1"/>
  <c r="I155" i="1" s="1"/>
  <c r="H169" i="1" l="1"/>
  <c r="I169" i="1" s="1"/>
  <c r="H210" i="1"/>
  <c r="I210" i="1" s="1"/>
  <c r="H143" i="1"/>
  <c r="I143" i="1" s="1"/>
  <c r="H219" i="1"/>
  <c r="H218" i="1"/>
  <c r="H217" i="1"/>
  <c r="H216" i="1"/>
  <c r="H215" i="1"/>
  <c r="H212" i="1" l="1"/>
  <c r="I212" i="1" s="1"/>
  <c r="H168" i="1" l="1"/>
  <c r="H179" i="1"/>
  <c r="I179" i="1" s="1"/>
  <c r="H178" i="1"/>
  <c r="I178" i="1" s="1"/>
  <c r="H177" i="1"/>
  <c r="I177" i="1" s="1"/>
  <c r="H176" i="1"/>
  <c r="I176" i="1" s="1"/>
  <c r="H175" i="1" l="1"/>
  <c r="H174" i="1"/>
  <c r="H166" i="1"/>
  <c r="I166" i="1" s="1"/>
  <c r="H165" i="1"/>
  <c r="I165" i="1" s="1"/>
  <c r="H164" i="1"/>
  <c r="I164" i="1" s="1"/>
  <c r="H163" i="1"/>
  <c r="H162" i="1" l="1"/>
  <c r="I162" i="1" s="1"/>
  <c r="H142" i="1"/>
  <c r="I142" i="1" s="1"/>
  <c r="H161" i="1"/>
  <c r="H152" i="1"/>
  <c r="I152" i="1" s="1"/>
  <c r="H153" i="1"/>
  <c r="H173" i="1"/>
  <c r="H172" i="1" l="1"/>
  <c r="I172" i="1" s="1"/>
  <c r="H171" i="1" l="1"/>
  <c r="I171" i="1" s="1"/>
  <c r="I175" i="1"/>
  <c r="I174" i="1"/>
  <c r="I173" i="1"/>
  <c r="H167" i="1" l="1"/>
  <c r="I167" i="1" s="1"/>
  <c r="H156" i="1"/>
  <c r="I156" i="1" s="1"/>
  <c r="H157" i="1"/>
  <c r="I157" i="1" s="1"/>
  <c r="I153" i="1" l="1"/>
  <c r="H149" i="1"/>
  <c r="I149" i="1" s="1"/>
  <c r="H214" i="1"/>
  <c r="I214" i="1" s="1"/>
  <c r="I215" i="1"/>
  <c r="I216" i="1"/>
  <c r="I217" i="1"/>
  <c r="I218" i="1"/>
  <c r="I219" i="1"/>
  <c r="I220" i="1"/>
  <c r="H150" i="1"/>
  <c r="I150" i="1" s="1"/>
  <c r="H213" i="1"/>
  <c r="I168" i="1"/>
  <c r="I163" i="1"/>
  <c r="I161" i="1"/>
  <c r="H73" i="1"/>
  <c r="I73" i="1" s="1"/>
  <c r="H209" i="1" l="1"/>
  <c r="H208" i="1"/>
  <c r="H207" i="1"/>
  <c r="H206" i="1"/>
  <c r="H205" i="1" l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H196" i="1"/>
  <c r="I196" i="1" s="1"/>
  <c r="I206" i="1"/>
  <c r="I207" i="1"/>
  <c r="I208" i="1"/>
  <c r="I209" i="1"/>
  <c r="I213" i="1"/>
  <c r="H195" i="1" l="1"/>
  <c r="H192" i="1"/>
  <c r="I197" i="1"/>
  <c r="H194" i="1"/>
  <c r="H193" i="1"/>
  <c r="I193" i="1" s="1"/>
  <c r="H191" i="1"/>
  <c r="I191" i="1" s="1"/>
  <c r="H190" i="1"/>
  <c r="H189" i="1"/>
  <c r="I189" i="1" s="1"/>
  <c r="H188" i="1"/>
  <c r="H187" i="1"/>
  <c r="H186" i="1"/>
  <c r="I186" i="1" s="1"/>
  <c r="H185" i="1"/>
  <c r="H184" i="1"/>
  <c r="H183" i="1"/>
  <c r="H182" i="1"/>
  <c r="H181" i="1"/>
  <c r="I181" i="1" l="1"/>
  <c r="I182" i="1"/>
  <c r="I183" i="1"/>
  <c r="I184" i="1"/>
  <c r="I185" i="1"/>
  <c r="I187" i="1"/>
  <c r="I188" i="1"/>
  <c r="I190" i="1"/>
  <c r="I192" i="1"/>
  <c r="I194" i="1"/>
  <c r="I195" i="1"/>
  <c r="H148" i="1" l="1"/>
  <c r="I148" i="1" s="1"/>
  <c r="H147" i="1"/>
  <c r="H146" i="1"/>
  <c r="I146" i="1" s="1"/>
  <c r="H145" i="1" l="1"/>
  <c r="I145" i="1" s="1"/>
  <c r="I147" i="1"/>
  <c r="H180" i="1"/>
  <c r="I180" i="1" s="1"/>
  <c r="H141" i="1"/>
  <c r="I141" i="1" s="1"/>
  <c r="H144" i="1"/>
  <c r="I144" i="1" s="1"/>
  <c r="H140" i="1"/>
  <c r="I140" i="1" s="1"/>
  <c r="H139" i="1"/>
  <c r="I139" i="1" s="1"/>
  <c r="H138" i="1" l="1"/>
  <c r="I138" i="1" s="1"/>
  <c r="H137" i="1"/>
  <c r="H136" i="1"/>
  <c r="I136" i="1" s="1"/>
  <c r="H134" i="1"/>
  <c r="I134" i="1" s="1"/>
  <c r="H133" i="1"/>
  <c r="I133" i="1" s="1"/>
  <c r="H132" i="1"/>
  <c r="I132" i="1" s="1"/>
  <c r="I137" i="1"/>
  <c r="H131" i="1"/>
  <c r="I131" i="1" s="1"/>
  <c r="H130" i="1"/>
  <c r="I130" i="1" s="1"/>
  <c r="H128" i="1"/>
  <c r="I128" i="1" s="1"/>
  <c r="H127" i="1"/>
  <c r="I127" i="1" s="1"/>
  <c r="H126" i="1"/>
  <c r="I126" i="1" s="1"/>
  <c r="H125" i="1" l="1"/>
  <c r="I125" i="1" s="1"/>
  <c r="H124" i="1"/>
  <c r="I124" i="1" s="1"/>
  <c r="H123" i="1"/>
  <c r="I123" i="1" s="1"/>
  <c r="H122" i="1"/>
  <c r="I122" i="1" s="1"/>
  <c r="H117" i="1" l="1"/>
  <c r="I117" i="1" s="1"/>
  <c r="H115" i="1" l="1"/>
  <c r="I115" i="1" l="1"/>
  <c r="H116" i="1"/>
  <c r="I116" i="1" s="1"/>
  <c r="H121" i="1"/>
  <c r="I121" i="1" s="1"/>
  <c r="H120" i="1"/>
  <c r="I120" i="1" s="1"/>
  <c r="H119" i="1"/>
  <c r="I119" i="1" s="1"/>
  <c r="H82" i="1" l="1"/>
  <c r="I82" i="1" s="1"/>
  <c r="H79" i="1"/>
  <c r="H78" i="1"/>
  <c r="H77" i="1"/>
  <c r="I77" i="1" s="1"/>
  <c r="H57" i="1"/>
  <c r="I57" i="1" s="1"/>
  <c r="H56" i="1"/>
  <c r="I56" i="1" s="1"/>
  <c r="H75" i="1"/>
  <c r="H72" i="1" l="1"/>
  <c r="I72" i="1" s="1"/>
  <c r="H74" i="1"/>
  <c r="I74" i="1" s="1"/>
  <c r="H71" i="1" l="1"/>
  <c r="I71" i="1" s="1"/>
  <c r="I67" i="1"/>
  <c r="I68" i="1"/>
  <c r="H70" i="1"/>
  <c r="I70" i="1" s="1"/>
  <c r="H69" i="1"/>
  <c r="I69" i="1" s="1"/>
  <c r="H66" i="1"/>
  <c r="I66" i="1" s="1"/>
  <c r="I65" i="1"/>
  <c r="H64" i="1"/>
  <c r="I64" i="1" s="1"/>
  <c r="I63" i="1"/>
  <c r="H81" i="1"/>
  <c r="I81" i="1" s="1"/>
  <c r="H80" i="1"/>
  <c r="I80" i="1" s="1"/>
  <c r="I79" i="1"/>
  <c r="I78" i="1"/>
  <c r="I75" i="1"/>
  <c r="H113" i="1" l="1"/>
  <c r="H112" i="1"/>
  <c r="H110" i="1"/>
  <c r="H108" i="1"/>
  <c r="H107" i="1"/>
  <c r="H106" i="1"/>
  <c r="H105" i="1"/>
  <c r="H104" i="1"/>
  <c r="H61" i="1"/>
  <c r="I61" i="1" s="1"/>
  <c r="H60" i="1"/>
  <c r="I60" i="1" s="1"/>
  <c r="H59" i="1"/>
  <c r="I59" i="1" s="1"/>
  <c r="H102" i="1"/>
  <c r="H101" i="1"/>
  <c r="H100" i="1"/>
  <c r="I100" i="1" s="1"/>
  <c r="H99" i="1"/>
  <c r="I99" i="1" s="1"/>
  <c r="H98" i="1"/>
  <c r="I98" i="1" s="1"/>
  <c r="H97" i="1"/>
  <c r="H96" i="1"/>
  <c r="H95" i="1" l="1"/>
  <c r="I95" i="1" s="1"/>
  <c r="H94" i="1"/>
  <c r="H93" i="1" l="1"/>
  <c r="H92" i="1"/>
  <c r="H91" i="1"/>
  <c r="H90" i="1"/>
  <c r="H89" i="1" l="1"/>
  <c r="H88" i="1"/>
  <c r="H87" i="1"/>
  <c r="H86" i="1"/>
  <c r="H85" i="1"/>
  <c r="H84" i="1" l="1"/>
  <c r="I84" i="1" s="1"/>
  <c r="I85" i="1"/>
  <c r="I86" i="1"/>
  <c r="I87" i="1"/>
  <c r="I88" i="1"/>
  <c r="I89" i="1"/>
  <c r="I90" i="1"/>
  <c r="I91" i="1"/>
  <c r="I92" i="1"/>
  <c r="I93" i="1"/>
  <c r="I94" i="1"/>
  <c r="I96" i="1"/>
  <c r="I97" i="1"/>
  <c r="I101" i="1"/>
  <c r="I102" i="1"/>
  <c r="H103" i="1"/>
  <c r="I103" i="1" s="1"/>
  <c r="I104" i="1"/>
  <c r="I105" i="1"/>
  <c r="I106" i="1"/>
  <c r="I107" i="1"/>
  <c r="I108" i="1"/>
  <c r="H109" i="1"/>
  <c r="I109" i="1" s="1"/>
  <c r="I110" i="1"/>
  <c r="H111" i="1"/>
  <c r="I111" i="1" s="1"/>
  <c r="I112" i="1"/>
  <c r="I113" i="1"/>
  <c r="H83" i="1"/>
  <c r="H55" i="1" l="1"/>
  <c r="H54" i="1"/>
  <c r="H53" i="1"/>
  <c r="H52" i="1"/>
  <c r="H51" i="1"/>
  <c r="H50" i="1"/>
  <c r="H49" i="1" l="1"/>
  <c r="H48" i="1" l="1"/>
  <c r="I48" i="1" s="1"/>
  <c r="H47" i="1"/>
  <c r="I47" i="1" s="1"/>
  <c r="H46" i="1"/>
  <c r="I46" i="1" s="1"/>
  <c r="H45" i="1"/>
  <c r="I45" i="1" s="1"/>
  <c r="H43" i="1"/>
  <c r="I43" i="1" s="1"/>
  <c r="I49" i="1"/>
  <c r="I50" i="1"/>
  <c r="I51" i="1"/>
  <c r="I52" i="1"/>
  <c r="I53" i="1"/>
  <c r="I54" i="1"/>
  <c r="I55" i="1"/>
  <c r="I83" i="1"/>
  <c r="H42" i="1"/>
  <c r="I42" i="1" s="1"/>
  <c r="H41" i="1"/>
  <c r="I41" i="1" s="1"/>
  <c r="H40" i="1"/>
  <c r="I40" i="1" s="1"/>
  <c r="H38" i="1"/>
  <c r="I38" i="1" s="1"/>
  <c r="H39" i="1"/>
  <c r="I39" i="1" s="1"/>
  <c r="H33" i="1"/>
  <c r="I33" i="1" s="1"/>
  <c r="H37" i="1"/>
  <c r="I37" i="1" s="1"/>
  <c r="H36" i="1"/>
  <c r="I36" i="1" s="1"/>
  <c r="H35" i="1"/>
  <c r="H32" i="1" l="1"/>
  <c r="H31" i="1"/>
  <c r="I31" i="1" s="1"/>
  <c r="H30" i="1"/>
  <c r="I30" i="1" s="1"/>
  <c r="H29" i="1"/>
  <c r="I29" i="1" s="1"/>
  <c r="H28" i="1"/>
  <c r="I28" i="1" s="1"/>
  <c r="H27" i="1"/>
  <c r="H26" i="1"/>
  <c r="H25" i="1"/>
  <c r="I32" i="1"/>
  <c r="H34" i="1"/>
  <c r="I34" i="1" s="1"/>
  <c r="I35" i="1"/>
  <c r="H24" i="1"/>
  <c r="H23" i="1"/>
  <c r="H22" i="1" l="1"/>
  <c r="I25" i="1" l="1"/>
  <c r="I24" i="1"/>
  <c r="I23" i="1"/>
  <c r="I22" i="1"/>
  <c r="I26" i="1"/>
  <c r="I27" i="1"/>
  <c r="H21" i="1" l="1"/>
  <c r="I21" i="1" s="1"/>
  <c r="H20" i="1" l="1"/>
  <c r="I20" i="1" s="1"/>
  <c r="H19" i="1"/>
  <c r="I19" i="1" s="1"/>
  <c r="H18" i="1"/>
  <c r="I18" i="1" s="1"/>
  <c r="H17" i="1"/>
  <c r="I17" i="1" s="1"/>
  <c r="H10" i="1"/>
  <c r="I10" i="1" s="1"/>
  <c r="H16" i="1"/>
  <c r="I16" i="1" s="1"/>
  <c r="H11" i="1"/>
  <c r="I11" i="1" s="1"/>
  <c r="H15" i="1"/>
  <c r="I15" i="1" s="1"/>
  <c r="H14" i="1" l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<sst xmlns="http://schemas.openxmlformats.org/spreadsheetml/2006/main" count="5260" uniqueCount="2646">
  <si>
    <t>Наименование и характеристика объекта, регион строительства объекта</t>
  </si>
  <si>
    <t>Период выполнения работ</t>
  </si>
  <si>
    <t>Дата начала</t>
  </si>
  <si>
    <t>общий (в случае генподряда)</t>
  </si>
  <si>
    <t>06.2013</t>
  </si>
  <si>
    <t>10.2013</t>
  </si>
  <si>
    <t>03.2010</t>
  </si>
  <si>
    <t>12.2013</t>
  </si>
  <si>
    <t>09.2011</t>
  </si>
  <si>
    <t>12.2014</t>
  </si>
  <si>
    <t>КГКУ «Дирекция по комплексному развитию Нижнего Приангарья» (КГКУ «ДКР НП»)
660017, г. Красноярск, ул. Урицкого, д. 123,                 тел. (391) 227-81-31 факс: (391)227-81-53 Генподрядчик: ООО «Инжиниринговый центр Энерго»   660049, г. Красноярск, ул. Дубровинского, д. 100  Тел.: (391) 266-07-34 
Директор Цинадзе Д.Р.        
Управляющий директор Шеховцев Г.В.</t>
  </si>
  <si>
    <t>12.2015</t>
  </si>
  <si>
    <t>03.2012</t>
  </si>
  <si>
    <t>08.2011</t>
  </si>
  <si>
    <t>09.2013</t>
  </si>
  <si>
    <t>10.2016</t>
  </si>
  <si>
    <t>10.2015</t>
  </si>
  <si>
    <t>08.2016</t>
  </si>
  <si>
    <t>04.2016</t>
  </si>
  <si>
    <t>09.2016</t>
  </si>
  <si>
    <t>05.2016</t>
  </si>
  <si>
    <t>02.2016</t>
  </si>
  <si>
    <t>06.2015</t>
  </si>
  <si>
    <t xml:space="preserve">Открытый пункт перехода 500кВ на строящейся Богучанской ГЭС с токопроводами связи 500кВ от комплектного распределительного устройства элегазового 500кВ до открытого пункта перехода 500кВ.   
</t>
  </si>
  <si>
    <t>02.2014</t>
  </si>
  <si>
    <t>03.2013</t>
  </si>
  <si>
    <t>Монтаж управляемого шунтирующего реактора РТУ-180000/500. Демонтаж старого оборудования и ошиновки 500кВ, 110кВ. Монтаж выключателей, разъединителей, трансформаторов тока и напряжения 500кВ. Изготовление и монтаж металлоконструкций  под оборудование 500, 110кВ, порталов 500кВ. Монтаж кабельных лотков и прокладка кабелей. Монтаж контура заземления ПС. Монтаж ошиновки ОРУ 500кВ.</t>
  </si>
  <si>
    <t>Монтаж кабельных линий XLPE 500 кВ сечением 1х2500 мм2  (производство SUEDKABEL, Германия). Изготовление и монтаж металлоконструкций для прокладки кабеля 500кВ. 
Пусконаладочные работы.</t>
  </si>
  <si>
    <t>ОАО «Иркутская электросетевая компания»
664033, г. Иркутск, ул. Лермонтова 257,
Тел: (3952) 792-459 
Факс: (3952) 792-461
Генеральный директор Б.Н. Каратаев
Восточные электрические сети
Директор филиала ВЭС Садохин А.И.                 664047, Иркутская область, г. Иркутск, ул. Депутатская, д.38
Тел./факс.: 8(395-2)794-859, 8(395-2) 794-811</t>
  </si>
  <si>
    <t xml:space="preserve">КРУЭ 500кВ </t>
  </si>
  <si>
    <t xml:space="preserve">КРУЭ 220кВ </t>
  </si>
  <si>
    <t>08.2009</t>
  </si>
  <si>
    <t>Монтаж  КРУЭ 500кВ (производство ABB, Швейцария). 
Пусконаладочные работы.</t>
  </si>
  <si>
    <t>в т.ч. собственными силами</t>
  </si>
  <si>
    <t>Монтаж комплектного распределительного устройства с элегазовой изоляцией КРУЭ 220 кВ (производство ABB, Швейцария). Пусконаладочные работы.</t>
  </si>
  <si>
    <t>07.2013</t>
  </si>
  <si>
    <t>01.2012</t>
  </si>
  <si>
    <t>01.2013</t>
  </si>
  <si>
    <t>Монтаж кабельных металлоконструкций и линий КРУЭ 220кВ</t>
  </si>
  <si>
    <t>Опыт выполнения работ</t>
  </si>
  <si>
    <t>Общества с ограниченной ответственностью «Братское монтажное управление Гидроэлектромонтаж»</t>
  </si>
  <si>
    <t xml:space="preserve"> 2011 по 2015 г.г.</t>
  </si>
  <si>
    <t>Дата окончания (для незавершенных работ процент выполнения)</t>
  </si>
  <si>
    <t>Объем СМР, тыс. руб. без НДС</t>
  </si>
  <si>
    <t xml:space="preserve">Виды работ, выполненные собственными силами и силами привлеченных субподрядных организаций </t>
  </si>
  <si>
    <t>Наличие отзыва</t>
  </si>
  <si>
    <t>03.2011</t>
  </si>
  <si>
    <t>Монтаж технологического и нестандартного технологического оборудования. Строительные (фундаменты компрессорной установки и воздухосборников) и электромонтажные работы.</t>
  </si>
  <si>
    <t>12.2011</t>
  </si>
  <si>
    <t>06.2012</t>
  </si>
  <si>
    <t>Ремонт кабельных концевых муфт 220 кВ</t>
  </si>
  <si>
    <t>05.2012</t>
  </si>
  <si>
    <t>12.2012</t>
  </si>
  <si>
    <t>Электромонтажные работы по модернизации устройств центральной сигнализации машинного зала здания  Братской ГЭС- 1 этап.</t>
  </si>
  <si>
    <t>09.2012</t>
  </si>
  <si>
    <t xml:space="preserve">Электромонтажные и пуско-наладочные работы по реконструкции электрооборудования крана козлового №2 г/п 150т.   </t>
  </si>
  <si>
    <t>10.2012</t>
  </si>
  <si>
    <t>Строительно-монтажные и пусконаладочные работы по реконструкции сети постоянного тока машинного зала здания ГЭС - 3 этап</t>
  </si>
  <si>
    <t>04.2014</t>
  </si>
  <si>
    <t>Вывозка рабочего колеса с МП-1 на центральный склад Братской ГЭС</t>
  </si>
  <si>
    <t>09.2014</t>
  </si>
  <si>
    <t>04.2015</t>
  </si>
  <si>
    <t>09.2015</t>
  </si>
  <si>
    <t>06.2016</t>
  </si>
  <si>
    <t>Аварийно-восстановительные работы по кабельным тоннелям, галереям и будкам ОРУ. Замена силового, контрольного, оптического, маслонаполненного кабелей.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</si>
  <si>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</si>
  <si>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</si>
  <si>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</si>
  <si>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</si>
  <si>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</si>
  <si>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</si>
  <si>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</si>
  <si>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</si>
  <si>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</si>
  <si>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</si>
  <si>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</si>
  <si>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</si>
  <si>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</si>
  <si>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07.2012</t>
  </si>
  <si>
    <t>Монтаж узлов пожаротушения пусковых комплексов №№ 7,12, 15, 17, 16.</t>
  </si>
  <si>
    <t>1.13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</si>
  <si>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"ПО "Иркутскэнерго"
664043, г. Иркутск, бульвар Рябикова, 65
тел.(3952)790 076, 795 033
Директор Воробьев В.П.</t>
  </si>
  <si>
    <t>1.14</t>
  </si>
  <si>
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</si>
  <si>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>08.2013</t>
  </si>
  <si>
    <t>Строительно-монтажные работы следующих комплексов: Терминал АРЧМ, ГРАРМ с верхним уровнем, ЭГР 16Г, ССМД 16Г с верхним уровнем.</t>
  </si>
  <si>
    <t>03.2014</t>
  </si>
  <si>
    <t>1.15</t>
  </si>
  <si>
    <t>1.16</t>
  </si>
  <si>
    <t>1.17</t>
  </si>
  <si>
    <t>1.18</t>
  </si>
  <si>
    <t>06.2014</t>
  </si>
  <si>
    <t>09.2016
(64%)</t>
  </si>
  <si>
    <t>07.2014</t>
  </si>
  <si>
    <t>07.2016
(97%)</t>
  </si>
  <si>
    <t>10.2014</t>
  </si>
  <si>
    <t>1.19</t>
  </si>
  <si>
    <t>1.20</t>
  </si>
  <si>
    <t>1.21</t>
  </si>
  <si>
    <t>1.22</t>
  </si>
  <si>
    <t>1.23</t>
  </si>
  <si>
    <t>02.2015</t>
  </si>
  <si>
    <t>07.2016 
(64%)</t>
  </si>
  <si>
    <t>05.2015</t>
  </si>
  <si>
    <t>07.2015</t>
  </si>
  <si>
    <t>Строительно-монтажные  и пусконаладочные работы следующих комплексов: ПТК ССМД 14Г с верхним уровнем</t>
  </si>
  <si>
    <t>12.2016 
(75%)</t>
  </si>
  <si>
    <t>11.2015</t>
  </si>
  <si>
    <t xml:space="preserve">Прокладка и измерение всех волоконно-оптических кабелей, их сварка, подключение и измерение.
</t>
  </si>
  <si>
    <t xml:space="preserve">Строительно-монтажные  и пусконаладочные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</si>
  <si>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</si>
  <si>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1Г, ЭГР 2Г
</t>
  </si>
  <si>
    <t xml:space="preserve">Строительно-монтажные  и пусконаладочные работы следующих комплексов: Терминал АРЧМ, ГРАРМ с верхним уровнем, ЭГР 18Г
</t>
  </si>
  <si>
    <t xml:space="preserve">Строительно-монтажные  и пусконаладочные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</si>
  <si>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</si>
  <si>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 xml:space="preserve">Строительно-монтажные  и пусконаладочные работы следующих комплексов:  ССМД 1Г с верхним уровнем
</t>
  </si>
  <si>
    <t xml:space="preserve">
1</t>
  </si>
  <si>
    <t xml:space="preserve">
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</t>
  </si>
  <si>
    <t>Комплексная система управления ГА для участия в АВРЧМ
г. Братск,  Иркутской области</t>
  </si>
  <si>
    <t>02.2011</t>
  </si>
  <si>
    <t>Электромонтажные работы по замене трансформатора тока напряжением 500 кВ</t>
  </si>
  <si>
    <t>Строительно-монтажные  работы по автоматизированной измерительной системе  контроля состояния гидротехнических сооружений бетонной плотины</t>
  </si>
  <si>
    <t>2.1</t>
  </si>
  <si>
    <t>2.2</t>
  </si>
  <si>
    <t>08.2012</t>
  </si>
  <si>
    <t>Строительно-монтажные  работы  (монтаж оборудования, демонтаж и монтаж кабельных связей).</t>
  </si>
  <si>
    <t>05.2011</t>
  </si>
  <si>
    <t>10.2011</t>
  </si>
  <si>
    <t>Ремонтные работы</t>
  </si>
  <si>
    <t>11.2012</t>
  </si>
  <si>
    <t>Разработка рабочей документации, строительно-монтажные  и пусконаладочные работы  по замене релейных защит генераторов 13Г, 14Г и трансформатора 7Т на микропроцессорные защиты</t>
  </si>
  <si>
    <t>Строительно-монтажные  работы по замене трансформаторов тока.</t>
  </si>
  <si>
    <t>04.2013</t>
  </si>
  <si>
    <t>Поставка оборудования и строительно-монтажные  работы.</t>
  </si>
  <si>
    <t>Строительно-монтажные, пусконаладочные и проектные работы по замене релейных защит генераторов 13Г, 14Г и трансформатора 7Т на микропроцессорные защиты</t>
  </si>
  <si>
    <t>Строительно-монтажные  и пусконаладочные работы  по замене агрегатных собственных нужд 0,4 кВ по объекту</t>
  </si>
  <si>
    <t>Строительно-монтажные  и пусконаладочные работы</t>
  </si>
  <si>
    <t>08.2014</t>
  </si>
  <si>
    <t>Строительно-монтажные  и пусконаладочные работы. Трансформатор ТЦ 630000/500 блок 2 г/а 3, 4</t>
  </si>
  <si>
    <t>11.2014</t>
  </si>
  <si>
    <t xml:space="preserve">Строительно-монтажные   работы на ОРУ 220кВ,  ОРУ 500кВ </t>
  </si>
  <si>
    <t>08.2015</t>
  </si>
  <si>
    <t>08.2016 
(46%)</t>
  </si>
  <si>
    <t>Строительно-монтажные   работы и поставка оборудования</t>
  </si>
  <si>
    <t>Строительно-монтажные   работы</t>
  </si>
  <si>
    <t>07.2016
(82%)</t>
  </si>
  <si>
    <t xml:space="preserve">Канал высокочастотной связи по линиям электропередачи 500 кВ ВЛ-571 (инв.№ БРГ_ 00049587).
</t>
  </si>
  <si>
    <t xml:space="preserve">
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</t>
  </si>
  <si>
    <t xml:space="preserve">
2</t>
  </si>
  <si>
    <t>1.24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</si>
  <si>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</si>
  <si>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</si>
  <si>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</si>
  <si>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</si>
  <si>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</si>
  <si>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</si>
  <si>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</si>
  <si>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</si>
  <si>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</si>
  <si>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</si>
  <si>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</si>
  <si>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</si>
  <si>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</si>
  <si>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</si>
  <si>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</si>
  <si>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</si>
  <si>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</si>
  <si>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</si>
  <si>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</si>
  <si>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ПАО «Иркутскэнерго»
664025, г. Иркутск, ул. Сухэ-Батора,3
Генеральный директор Причко О.Н. 
Филиал ПАО "Иркутскэнерго" 
Усть-Илимская ГЭС
666684 Иркутская область, г.Усть-Илимск-14, а/я 330 тел. (39535) 9 53 59
Директор филиала Кровушкин А.В.</t>
  </si>
  <si>
    <t>Строительные  (ограждение участков территории) и электромонтажные (устройство освещения на участке металлического ограждения) работы.</t>
  </si>
  <si>
    <t>Строительно-монтажные  и пусконаладочные работы по замене оборудования и кабельных связей щита постоянного тока (ЩПТ) здания ГЭС</t>
  </si>
  <si>
    <t>Строительно-монтажные  и пусконаладочные работы по реконструкции, подготовке к работе и пуску дизель-генераторных установок.</t>
  </si>
  <si>
    <t>3.1</t>
  </si>
  <si>
    <t>01.2011</t>
  </si>
  <si>
    <t xml:space="preserve">Электромонтажные   работы </t>
  </si>
  <si>
    <t>04.2011</t>
  </si>
  <si>
    <t>06.2011</t>
  </si>
  <si>
    <t>Ремонтные работы кабельных связей</t>
  </si>
  <si>
    <t>02.2012</t>
  </si>
  <si>
    <t>Ремонтные работы кабельных трасс</t>
  </si>
  <si>
    <t>04.2012</t>
  </si>
  <si>
    <t xml:space="preserve">Ремонтные работы </t>
  </si>
  <si>
    <t>Строительно-монтажные   работы, комплектация и поставка оборудования.</t>
  </si>
  <si>
    <t>Строительно-монтажные  и пусконаладочные  работы, поставка оборудования</t>
  </si>
  <si>
    <t>Строительно-монтажные  и пусконаладочные  работы.</t>
  </si>
  <si>
    <t>3</t>
  </si>
  <si>
    <t>3.2</t>
  </si>
  <si>
    <t>3.3</t>
  </si>
  <si>
    <t>Строительные работы, монтаж кабелей и кабельных конструкций 6 и 0,4 кВ, контрольных кабелей вторичной коммутации, приобретение и монтаж электрооборудования 0,4, 6 кВ, пусконаладочные работы системы шин 0,4, 6 кВ, АСУ СН ИГЭС.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</si>
  <si>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</si>
  <si>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</si>
  <si>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</si>
  <si>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</si>
  <si>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</si>
  <si>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</si>
  <si>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</si>
  <si>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</si>
  <si>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</si>
  <si>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</si>
  <si>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</si>
  <si>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</si>
  <si>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</si>
  <si>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</si>
  <si>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</si>
  <si>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</si>
  <si>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</si>
  <si>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</si>
  <si>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 xml:space="preserve">ПАО «Иркутскэнерго»
664025, г. Иркутск, ул. Сухэ-Батора,3
Генеральный директор Причко О.Н. 
Филиал ПАО "Иркутскэнерго" ТЭЦ-6
Иркутская область г. Братск-18, а/я 428 Тел.(395-3) 45-60-25, (395-3) 49-13-59 
Директор филиала
Коноплев Сергей Иванович
</t>
  </si>
  <si>
    <t>09.204</t>
  </si>
  <si>
    <t>Монтажные работы</t>
  </si>
  <si>
    <t>01.2015</t>
  </si>
  <si>
    <t>6</t>
  </si>
  <si>
    <t>5.1</t>
  </si>
  <si>
    <t>5.2</t>
  </si>
  <si>
    <t>5.3</t>
  </si>
  <si>
    <t>5.4</t>
  </si>
  <si>
    <t>5.5</t>
  </si>
  <si>
    <t>ПАО «Иркутскэнерго»
664025, г. Иркутск, ул. Сухэ-Батора,3
Генеральный директор Причко О.Н. 
Филиал ПАО "Иркутскэнерго" ТЭЦ-10
665828 Иркутская область, г. Ангарск, а/я 1199 Тел.(3955) 501-359, 54-00-24  
Директор филиала 
Одяков Игорь Геннадьевич</t>
  </si>
  <si>
    <t>Ремонт освещения электроцехаи дымовой трубы ст. №2, Монтаж контура заземления оперативной лаборатории.</t>
  </si>
  <si>
    <t>Гидрогенератор № 3, 4.  
Замена системы тиристорного возбуждения
г. Иркутск</t>
  </si>
  <si>
    <t>Гидрогенератор № 6, 7  
Замена системы тиристорного возбуждения
г. Иркутск</t>
  </si>
  <si>
    <t>Реконструкция схемы собственных нужд станции на напряжении 6 и 0,4 кВ. 4 пусковой комплекс.
г. Иркутск</t>
  </si>
  <si>
    <t>11.2008</t>
  </si>
  <si>
    <t>Строительно-монтажные  и пусконаладочные  работы, разработка проектно-сметной документации.</t>
  </si>
  <si>
    <t>Монтаж блочных трансформаторов ТЦ-400000/500-УХЛ-1 (производство ПАО «Запорожтрансформатор», Украина) - 6 шт. Монтаж блочных трансформаторов ТЦ-400000/220-УХЛ-1 (производство ПАО «Запорожтрансформатор», Украина) - 3 шт.</t>
  </si>
  <si>
    <t>Выполнение комплекса электромонтажных и пусконаладочных работ собственных нужд, систем освещения и заземления Богучанской ГЭС</t>
  </si>
  <si>
    <t>09.2010</t>
  </si>
  <si>
    <t xml:space="preserve">Монтаж и пусконаладочные  работы вторичного оборудования </t>
  </si>
  <si>
    <t>Строительно-монтажные  и пусконаладочные  работы</t>
  </si>
  <si>
    <t>11.2013</t>
  </si>
  <si>
    <t xml:space="preserve">Работы по монтажу шинных опор, монтажу ошиновки на ОРУ 220 кВ </t>
  </si>
  <si>
    <t>Работы по определению источника повышенного газовыделения в блочном трансформаторе Т7 типа ТЦ-400000/220-УХЛ1</t>
  </si>
  <si>
    <t xml:space="preserve"> ПС "Ангара" 
Работы по монтажу шинных опор, монтажу ошиновки на ОРУ 220 кВ ПС "Ангара" для подключения ячеек №3-4</t>
  </si>
  <si>
    <t>ПАО «Богучанская ГЭС»  
663491, г. Кодинск, стройбаза левого берега. Зд. 1, объединённая база №1 а/я 132 
тел.(39143) 3-10-00, 7-13-96
Генеральный директор Демченко В.В.</t>
  </si>
  <si>
    <t>Ремонтные и пусконаладочные  работы.</t>
  </si>
  <si>
    <t>Поставка материалов, осуществление СМР и ПНР по второму этапу АСО КИА гидротехнических сооружений БоГЭС</t>
  </si>
  <si>
    <t>Поставка материалов, строительно-монтажные  и пусконаладочные  работы</t>
  </si>
  <si>
    <t>Поставка, монтаж и пуско-наладка оборудования системы охранного освещения</t>
  </si>
  <si>
    <t>Поставка оборудования, монтажные  и пусконаладочные  работы</t>
  </si>
  <si>
    <t>Ремонт блочного трансформатора Т-2 типа ТЦ-400000/500-УХЛ1, зав. №159932</t>
  </si>
  <si>
    <t>Ремонтные  работы.</t>
  </si>
  <si>
    <t>Монтаж системы управления компрессорами высокого и низкого давления инв. №00043203</t>
  </si>
  <si>
    <t xml:space="preserve">Маслонаполненная кабельная линия 220 кВ ГТ инв.№00020112
 </t>
  </si>
  <si>
    <t>Периметральное ограждение на правобережной границе территории Братской ГЭС</t>
  </si>
  <si>
    <t xml:space="preserve">Аварийный ремонт кабеля и строительных конструкций МВДТ 220 кВ 14ГТ. 15 ГТ, 16 ГТ. </t>
  </si>
  <si>
    <t>Переоборудование систем автоматической пожарной сигнализации, пожаротушения производственных и административно-бытовых помещений Братской ГЭС</t>
  </si>
  <si>
    <t>Комплексная система управления ГА для участия в АВРЧМ</t>
  </si>
  <si>
    <t>Замена трансформатора тока напряжением 500 кВ станционный номер № ТТ В-4Т-572</t>
  </si>
  <si>
    <t xml:space="preserve">
Усть-Илимская ГЭС
г. Усть-Илимск, Иркутской области
</t>
  </si>
  <si>
    <t>Реконструкция системы оперативного постоянного тока</t>
  </si>
  <si>
    <t xml:space="preserve">Модернизация автоматизированной системы опроса контрольно-измерительной аппаратуры за состоянием гидротехнических сооружений бетонной плотины </t>
  </si>
  <si>
    <t>Модернизация автоматизированной системы опроса контрольно-измерительной аппаратуры за состоянием гидротехнических сооружений бетонной плотины</t>
  </si>
  <si>
    <t>Реконструкция общестанционной системы собственных нужд с подключением источников автономного электропитания по постоянной схеме</t>
  </si>
  <si>
    <t xml:space="preserve">Реконструкция типового блока 500 кВ. Реконструкция блока 7Т. </t>
  </si>
  <si>
    <t xml:space="preserve">Реконструкция главной схемы ОРУ-500 с заменой трансформаторов тока  500 кВ. </t>
  </si>
  <si>
    <r>
      <t xml:space="preserve">Реконструкция типового блока 500 кВ. Реконструкция блока 8Т </t>
    </r>
    <r>
      <rPr>
        <sz val="8"/>
        <color theme="1"/>
        <rFont val="Times New Roman"/>
        <family val="1"/>
        <charset val="204"/>
      </rPr>
      <t>(РЗА)</t>
    </r>
  </si>
  <si>
    <t>Реконструкция типового блока 500 кВ  Реконструкция блока 8Т. АСН 0,4 кВ</t>
  </si>
  <si>
    <t>Модернизация электрооборудования козлового крана зав.№1рег.№152</t>
  </si>
  <si>
    <t>Ремонт металлоконструкций стелы УИГЭС  и площадки, прилегающей к корпусу</t>
  </si>
  <si>
    <t>Капитальный ремонт токопроводов ТЭКН-20/23000 в ячейке трансформаторов ст.№ 1Т, 2Т с полной заменой опорных изоляторов</t>
  </si>
  <si>
    <t xml:space="preserve"> Реконструкция устройств РЗА ВЛ 500 кВ УИ-ГЭС-БрГЭС (ВЛ571) с реализацией ОАПВ</t>
  </si>
  <si>
    <t xml:space="preserve"> Реконструкция устройств РЗА ВЛ 500 кВ УИ-ГЭС-БрГЭС (ВЛ572) с реализацией ОАПВ</t>
  </si>
  <si>
    <t>Модернизация (реконструкция) РЗА автотрансформаторов 1АТ, 2АТ</t>
  </si>
  <si>
    <t>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</t>
  </si>
  <si>
    <t>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№7</t>
  </si>
  <si>
    <t>Кабельные трассы контрольно-измерительных приборов  и автоматики</t>
  </si>
  <si>
    <t>Модернизация средств контроля и управления технологическим процессом к/а ст.№2</t>
  </si>
  <si>
    <t>Кабельные трассы котлоагрегата     
ст. №2 цеха тепловой автоматики и измерений</t>
  </si>
  <si>
    <t>Кабельные трассы температурного контроля котлоагрегата  ст. №3 цеха тепловой автоматики и измерений</t>
  </si>
  <si>
    <t>Модернизация сетевого насоса левого берега с установкой гидромуфты;
Установка регуляторов на сливе с расширителей непрерывной продувки к/а 1-5,7</t>
  </si>
  <si>
    <t>Система вибромониторинга турбины ст. №1</t>
  </si>
  <si>
    <t>Кабельные трассы котлоагрегата     
ст. №3 питательно-деаэраторных установок (ПДУ) 1-4</t>
  </si>
  <si>
    <t>Кабельные трассы турбоагрегата     
ст. № 1</t>
  </si>
  <si>
    <t>Кабельные трассы температурного контроля и дистанционного управления регулирующей арматуры котлоагрегата       ст. №4, электропривода 3ПТС-15, ОС-13А</t>
  </si>
  <si>
    <t>Модернизация системы управления и контроля кислородного хозяйства. Реконструкция схемы обдувки ОГ-1-8, АВО 1-6, ОМ 1-20 котлоагрегата ст.№1</t>
  </si>
  <si>
    <t>Ремонт кабельных трасс КИПиА</t>
  </si>
  <si>
    <t>Модернизация системы возбуждения турбогенератора ст. №5</t>
  </si>
  <si>
    <t>Ремонт кабельных трасс КИП и А</t>
  </si>
  <si>
    <t>АКЗ металлоконструкций ГК</t>
  </si>
  <si>
    <t>Модернизация сетевого насоса промплощадки с установкой частотно-регулируемого привода.</t>
  </si>
  <si>
    <t>Установка частотного регулируемого привода на рабочих машинах (насосах) ПКНС</t>
  </si>
  <si>
    <t>Установка частотного регулируемого привода на рабочих машинах (насосах) ГКНС</t>
  </si>
  <si>
    <t>Ремонт площадок обслуживания КВО
Иркутская область</t>
  </si>
  <si>
    <t>Ремонт стеновых покрытий в ГК ряд А-Б отм. 0.00-12.00, оси 0-1</t>
  </si>
  <si>
    <t>ТЭЦ-6
г. Братск,  Иркутской области</t>
  </si>
  <si>
    <t>Кран мостовой г/п 30/5 тн. Тех. перевооружение электрооборудования и  кабины</t>
  </si>
  <si>
    <t>Ремонт оборудования КИПиА ТЭЦ6 ТИиТС (теплоисточники и теплосети)</t>
  </si>
  <si>
    <t>Ремонт освещения, кабельных трасс и силовых кабелей</t>
  </si>
  <si>
    <t>Ремонт воздушной линии электропередач 0,4 кВ станции насосов осветленной воды.</t>
  </si>
  <si>
    <t>Аккумуляторная батарея №5. Замена ЩПТ-5 с аккумуляторной батареей</t>
  </si>
  <si>
    <t>ТЭЦ-10 
г. Ангарск,  Иркутской области</t>
  </si>
  <si>
    <t xml:space="preserve">Ремонт электротехнического оборудования </t>
  </si>
  <si>
    <t>Ремонт электротехнического оборудования</t>
  </si>
  <si>
    <t>Работы по устройству временной системы отопления помещений КРУЭ 220 кВ Богучанской ГЭС на период выполнения монтажных работ.</t>
  </si>
  <si>
    <t>11.2011</t>
  </si>
  <si>
    <t>Реконструкция типового блока 500кВ. Реконструкция блока 5Т. Реконструкция агрегатных собственных нужд 0,4кВ блока 5Т.</t>
  </si>
  <si>
    <t>2.22</t>
  </si>
  <si>
    <t>Реконструкция типового блока 500кВ. Реконструкция блока 7Т. Реконструкция агрегатных собственных нужд 0,4кВ блока 7Т.</t>
  </si>
  <si>
    <t xml:space="preserve">КРУЭ 220 кВ Монтаж кабельных металлоконструкций </t>
  </si>
  <si>
    <t>Линия электропередач (ВЛ 10 кВ) по опорам с 1 по 69 до базы службы эксплуатации Богучанской ГЭС
г. Кодинск, Кежемский р-н, Красноярский край.</t>
  </si>
  <si>
    <t>Строительство ВЛ 10 кВ</t>
  </si>
  <si>
    <t>ЗАО "Спецэнергосистемы"
660049, г. Красноярск, ул. Карла Маркса, д.48 тел.(391)294-44-40
Директор Нестеров А.Р.</t>
  </si>
  <si>
    <t>Система мониторинга переходных режимов (СМПР)  Богучанской ГЭС</t>
  </si>
  <si>
    <t>Строительно-монтажные  и пусконаладочные работы по системе мониторинга переходных режимов (СМПР)</t>
  </si>
  <si>
    <t>ЗАО "Институт автоматизации энергетических систем"
630132, г. Новосибирск, ул. Железнодорожная, 12/1, 6 этаж, тел. (383) 363-02-65
Генеральный директор: Ландман А.К.</t>
  </si>
  <si>
    <t>2.23</t>
  </si>
  <si>
    <t xml:space="preserve">
Богучанская ГЭС
г. Кодинск, Кежемский р-н, Красноярский край.
</t>
  </si>
  <si>
    <t>5.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</si>
  <si>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</si>
  <si>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</si>
  <si>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</si>
  <si>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</si>
  <si>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</si>
  <si>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</si>
  <si>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</si>
  <si>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</si>
  <si>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</si>
  <si>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</si>
  <si>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</si>
  <si>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</si>
  <si>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</si>
  <si>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</si>
  <si>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</si>
  <si>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</si>
  <si>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</si>
  <si>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</si>
  <si>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</si>
  <si>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7</t>
  </si>
  <si>
    <t>7.1</t>
  </si>
  <si>
    <t>8</t>
  </si>
  <si>
    <t>8.1</t>
  </si>
  <si>
    <t>8.2</t>
  </si>
  <si>
    <t xml:space="preserve">
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</t>
  </si>
  <si>
    <t>Работы по аварийно-восстановительному ремонту (АВР) блочного трансформатора Т2 типа ТЦ 400000/500 УХЛ1 на БоГЭС</t>
  </si>
  <si>
    <t>Аварийно-восстановительный ремонт блочного трансформатора Т2 типа ТЦ 400000/500 УХЛ, пусконаладочные  работы, комплексное испытание</t>
  </si>
  <si>
    <t xml:space="preserve">ПАО «ФСК ЕЭС» 
117630, г. Москва, ул. Академика Челомея, д.5А.,
Генподрядчик: ЗАО «Электротехническая компания»  614111, Пермский край, г. Пермь, ул. Солдатова, 29/2   Тел./ф. (342)242-00-00, Генеральный директор Потанин В.А.            </t>
  </si>
  <si>
    <t>ООО "Энерготрансстрой"
121087, г. Москва, ул. Барклая, д.6 стр.3 
Генеральный директор Дудзинский В.А.</t>
  </si>
  <si>
    <t xml:space="preserve">
Усть-Илимская ТЭЦ
Иркутская область, г. Усть-Илимск
</t>
  </si>
  <si>
    <t>Непредвиденные работы и устранение дефектов на оборудование цеха ТАИ ТЭЦ-6 ТИиТС в г. Братске</t>
  </si>
  <si>
    <t>ПАО «Иркутскэнерго»
664025, г. Иркутск, ул. Сухэ-Батора,3
Генеральный директор Причко О.Н. 
Филиал ПАО "Иркутскэнерго" ТЭЦ-16
665651 Иркутская область, г. Железногорск-Илимский, 1 п/о, а/я 18. 
Тел.(39566) 2-61-59 (39566) 2-61-59
Директор филиала 
Черкасов Сергей Иванович</t>
  </si>
  <si>
    <t>Проектно-изыскательские, строительно-монтажные  и пусконаладочные  работы, поставка оборудования.</t>
  </si>
  <si>
    <t xml:space="preserve">ТЭЦ-16 
 Иркутская область, г. Железногорск-Илимский
</t>
  </si>
  <si>
    <t>10</t>
  </si>
  <si>
    <t>ПС-110/35/10 кВ "Киренская"
Реконструкция ПС
Иркутская область, г.Киренск</t>
  </si>
  <si>
    <t>21 от 11.04.11;
41 от 14.07.11; 
5 от 18.07.12; 
18 от 26.07.13</t>
  </si>
  <si>
    <t>№ договоров</t>
  </si>
  <si>
    <t>ПС 220/110/35/6кВ Лена
Реконструкция ПС
г. Усть-Кут,  Иркутской области.</t>
  </si>
  <si>
    <t>Монтаж электрооборудования ОРУ-35 и 110 кВ
Монтаж систем РЗиА, ПА, АИИСКУЭ.
Пусконаладочные работы.(Системы РЗиА и телемеханики (ТМ).
Измерения и испытания силовых трансформаторов.
Испытания силового электрооборудования 110 кВ. Металлоконструкции под оборудование открытого распределительного устройства ОРУ-35кВ и 110кВ
Поставка оборудования.</t>
  </si>
  <si>
    <t>Монтаж автотрансформаторов АТДЦТН-125000/220/110/6 - 2шт. Замена оборудования и ошиновки на ОРУ-220, 110, 35 кВ (выключателей, разъединителей, трансформаторов напряжения, ограничителей перенапряжения. трансформаторов тока). Монтаж батареи статических конденсаторов 3х25 МВАр (БСК 110 кВ), элегазовых выключателей, разъединителей 110 кВ. Изготовление и монтаж металлоконструкций под оборудование 220кВ, 110 кВ, 35кВ. Замена аккумуляторных батарей. Монтаж кабельно-проводниковой продукции. Демонтаж и монтаж шкафов РЗА. Поставка оборудования.
 Пусконаладочные работы.</t>
  </si>
  <si>
    <t>20 от 11.04.11
3 от 28.03.12
8 от 19.04.12
16 от 07.06.13</t>
  </si>
  <si>
    <t>ПС 27,5/6 кВ "Шестаково"  с отходящей ВЛ-6кВ
Строительство ПС
п. Шестоково, Нижнеилимский р-н, Иркутская обл.</t>
  </si>
  <si>
    <t>Монтаж ОПУ,  электрооборудования (разъединители, выключатели), общестроительные работы, ограждение. Пусконаладочные работы.</t>
  </si>
  <si>
    <t>4 от 24.05.12</t>
  </si>
  <si>
    <t>6 от 18.07.12
7 от 21.06.12</t>
  </si>
  <si>
    <t>Ново-Иркутская ТЭЦ
Иркутская область, г. Иркутск</t>
  </si>
  <si>
    <t>9</t>
  </si>
  <si>
    <t>9.1</t>
  </si>
  <si>
    <t>Реконструкция схемы СН 2 очереди с заменой ТСР-2 на трансформатор ТРДНС-40000/220/6,3</t>
  </si>
  <si>
    <t>Реконструкция ДЗШТ-220 кВ с заменой на микропроцессорные</t>
  </si>
  <si>
    <t>9.2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</si>
  <si>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Юрий Афанасьевич</t>
  </si>
  <si>
    <t>12</t>
  </si>
  <si>
    <t>13</t>
  </si>
  <si>
    <t>ПС "Тайшет-2" 500 кВ (Озерная) Расширение ПС в части подключения ВЛ 500кВ  от ПС "Ангара" до ПС "Тайшет-2" 500 кВ (Озерная) 
г. Тайшет, Иркутской области</t>
  </si>
  <si>
    <t>Турбогенератор станции №6</t>
  </si>
  <si>
    <t>9.3</t>
  </si>
  <si>
    <t xml:space="preserve">050000/2013-а
0490/2013-э-в
0491/2013-э-в
0499/2013-э-в
0569/2015-э-в
</t>
  </si>
  <si>
    <t>Строительно-монтажные, пусконаладочные работы и поставка оборудования</t>
  </si>
  <si>
    <t xml:space="preserve">1-13 НИТЭЦ от 16.05.13
</t>
  </si>
  <si>
    <t>1-14 НИ/ГЭМ от 28.04.14</t>
  </si>
  <si>
    <t>Строительно-монтажные работы</t>
  </si>
  <si>
    <t xml:space="preserve"> Поставка оборудования, демонтажные, строительно-монтажные  и пусконаладочные работы Демонтаж сетей 0,4-10 кВ в п. Кеуль.</t>
  </si>
  <si>
    <t>Замена АТ-1  с 63 на 125 МВА</t>
  </si>
  <si>
    <t>16 от 24.08.12</t>
  </si>
  <si>
    <t>Замена вводов на ПС 220/110/10 кВ "Заводская".
На ПС "Опорная" - замена вводов, аккумуляторных батарей (АБ), зарядно-выпрямительных устройств (2 шт).</t>
  </si>
  <si>
    <t>11 от 22.04.13
17 от 31.05.13</t>
  </si>
  <si>
    <t>30.09.2014</t>
  </si>
  <si>
    <t>Строительно-монтажные, пусконаладочные работы</t>
  </si>
  <si>
    <t>Районные электрические сети (РЭС-2)
Установка дуговых защит РП.
 г. Усть-Илимск, Иркутская область</t>
  </si>
  <si>
    <t>51 от 04.09.13</t>
  </si>
  <si>
    <t>ПС 35/10 " Большеокинск", ПС35/10 "Калтук",  ПС 35/10 "Кардой",  ПС35/10 "Новая Коршуниха", ПС35/10 "Заморский", ПС35/10 "Дальний 2" 
Реконструкция ПС  
Иркутская  обл.</t>
  </si>
  <si>
    <t>Реконструкция телемеханики на ПС СЭС</t>
  </si>
  <si>
    <t>81 от 18.02.14</t>
  </si>
  <si>
    <t xml:space="preserve">Замена вводов, аккумуляторных батарей (АБ), зарядно-выпрямительных устройств. Строительно-монтажные, пусконаладочные работы.
Ремонт оборудования.
</t>
  </si>
  <si>
    <t>91 от 03.06.14
15р-2015об от 29.05.15</t>
  </si>
  <si>
    <t>Строительно-монтажные, пусконаладочные работы.</t>
  </si>
  <si>
    <t>03-2015-ОКС-ц от 15.10.15</t>
  </si>
  <si>
    <t>18 от 30.06.10</t>
  </si>
  <si>
    <t>06.2010</t>
  </si>
  <si>
    <t xml:space="preserve">ПС 220/110/35/10 кВ "Байкальская" 
Реконструкция ПС
г. Иркутск
</t>
  </si>
  <si>
    <t>Реконструкция ПС 220/110/35/10 кВ "Байкальская"  (I этап)</t>
  </si>
  <si>
    <t>14</t>
  </si>
  <si>
    <t>15</t>
  </si>
  <si>
    <t>16</t>
  </si>
  <si>
    <t>17</t>
  </si>
  <si>
    <t>18</t>
  </si>
  <si>
    <t>19</t>
  </si>
  <si>
    <t>20</t>
  </si>
  <si>
    <t>20.1</t>
  </si>
  <si>
    <t>20.2</t>
  </si>
  <si>
    <t>12/2011 от 01.06.11</t>
  </si>
  <si>
    <t>ОАО «Иркутская электросетевая компания»
664033, г. Иркутск, ул. Лермонтова 257,
Тел: (3952) 792-459 
Факс: (3952) 792-461
Генеральный директор Б.Н. Каратаев
Южные электрические сети
Директор филиала ЮЭС А.Л. Прошутинский  664056, г. Иркутск, ул. Безбокова, 38
Тел./факс.: (3952) 793-203</t>
  </si>
  <si>
    <t>21</t>
  </si>
  <si>
    <t xml:space="preserve">Реконструкция ПС 220/110/35/10 кВ "Байкальская" с переводом ПС-35 кВ Лисиха в РП-10 кВ (1 этап)
</t>
  </si>
  <si>
    <t>Замена оборудования на ОРУ 110 кВ: элегазовые выключатели, трансформаторы тока 110 кВ., замена кабельных линий.</t>
  </si>
  <si>
    <t>ПС 110/6 кВ "Знаменская" 
Иркутская обл.
Расширение и реконструкция ПС</t>
  </si>
  <si>
    <t xml:space="preserve">ПС 110/10 кВ "Пивзавод"
Иркутская обл.
Расширение и реконструкция ПС </t>
  </si>
  <si>
    <t>22</t>
  </si>
  <si>
    <t xml:space="preserve">Такелаж трансформаторов </t>
  </si>
  <si>
    <t>07.2011</t>
  </si>
  <si>
    <t>10/2011 от 03.05.11</t>
  </si>
  <si>
    <t>30 от 05.07.11</t>
  </si>
  <si>
    <t xml:space="preserve">ПС 110/6 кВ "Рудная"
Иркутская обл.   
Реконструкция ПС            </t>
  </si>
  <si>
    <t xml:space="preserve">Замена выключателей 110кВ на элегазовые </t>
  </si>
  <si>
    <t xml:space="preserve">ПС 220/10/10 кВ "Бытовая" 
Иркутская обл.
Реконструкция ПС    </t>
  </si>
  <si>
    <t>23</t>
  </si>
  <si>
    <t>24</t>
  </si>
  <si>
    <t>24.1</t>
  </si>
  <si>
    <t xml:space="preserve">Замена выключателей 220кВ на элегазовые </t>
  </si>
  <si>
    <t>Замена аккумуляторных батарей</t>
  </si>
  <si>
    <t>24.2</t>
  </si>
  <si>
    <t>Строительно-монтажные и пусконаладочные  работы</t>
  </si>
  <si>
    <t>1-ЮЭС-2012(АБК) от 20.06.12</t>
  </si>
  <si>
    <t>2-ЮЭС-2012(В) от 30.03.12</t>
  </si>
  <si>
    <t>1-ЮЭС-2012(В) от 30.03.12</t>
  </si>
  <si>
    <t xml:space="preserve">ПС 220 кВ "Правобережная" 
Иркутская обл.
Реконструкция ПС    </t>
  </si>
  <si>
    <t>02.2013</t>
  </si>
  <si>
    <t>Строительно-монтажные и пусконаладочные  работы по замене аккумуляторных батарей</t>
  </si>
  <si>
    <t>1-ЮЭС-2013(АБК) от 27.02.13</t>
  </si>
  <si>
    <t>Реконструкция ОРУ-110 кВ. Монтаж оборудования 110 кВ: Такелаж и монтаж трансформатора 110 кВ. элегазовые выключатели, разъединители, измерительные трансформаторы. Монтаж гибкой ошиновки, кабельных линий и металлоконструкций. Выполнение общестроительных и пусконаладочных работ.</t>
  </si>
  <si>
    <t>Транспортировка к месту ремонта, ремонт и такелаж трансформатора ТДТН 25000/110 (промплощадка разреза Азейский - ПС500 Тулун)</t>
  </si>
  <si>
    <t xml:space="preserve">Промплощадка разреза Азейский - ПС500 Тулун
Иркутская обл. 
Транспортировка, такелаж и ремонт трансформатора ТДТН 25000/110  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</si>
  <si>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пер.Энергетиков 6. 
Директор Коваленко Э.А.</t>
  </si>
  <si>
    <t>25</t>
  </si>
  <si>
    <t>27</t>
  </si>
  <si>
    <t>28</t>
  </si>
  <si>
    <t>29</t>
  </si>
  <si>
    <t>Монтаж автотрансформатора ТЗС (АТ-3)</t>
  </si>
  <si>
    <t>08.2010</t>
  </si>
  <si>
    <t>445С001С691 от 19.09.11</t>
  </si>
  <si>
    <t>445С001С660 от 12.08.10</t>
  </si>
  <si>
    <t>445С001С671 от 07.02.10</t>
  </si>
  <si>
    <t>ОРУ-220 кВ</t>
  </si>
  <si>
    <t>ОРУ-500 кВ</t>
  </si>
  <si>
    <t>Монтаж электрооборудования ОРУ-500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</si>
  <si>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Монтаж электрооборудования ОРУ-220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</si>
  <si>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30</t>
  </si>
  <si>
    <t>445С001С683 от 01.06.11</t>
  </si>
  <si>
    <t>Монтаж электрооборудования ОРУ-220 кВ (выключатели, разъединители, монтаж ошиновки), кабельных линий, шкафного оборудования, металлоконструкций. Пусконаладочные работы.</t>
  </si>
  <si>
    <t>31</t>
  </si>
  <si>
    <t>Электромонтажные работы и пусконаладочные работы</t>
  </si>
  <si>
    <t>017-763-11 от 26.04.11
017-2030-11 от 01.12.11</t>
  </si>
  <si>
    <t>Реализация проектов "Строительство хвойной линии";  "Строительство пресспата сушильной машины"</t>
  </si>
  <si>
    <t>31.1</t>
  </si>
  <si>
    <t>31.2</t>
  </si>
  <si>
    <t>017-521-11 от 05.04.11</t>
  </si>
  <si>
    <t>Кабельная трасса от ТЭЦ-6 до РП-11</t>
  </si>
  <si>
    <t>Реализация проекта "Реконструкция объектов подготовки, хранения и подачи КДО на утилизацию". II ПК</t>
  </si>
  <si>
    <t>017-1404-11 от 01.07.11</t>
  </si>
  <si>
    <t>017-2178-11 от 18.11.11</t>
  </si>
  <si>
    <t>Реализация проекта "Реконструкция целлюлозного производства. Управление стратегическими проектами"</t>
  </si>
  <si>
    <t>Транспортировка стрелы крана, парового барабана котла, фермы каркаса.</t>
  </si>
  <si>
    <t>31.3</t>
  </si>
  <si>
    <t>Монтаж электротехнического оборудования для СРК-14 и Выпарной станции</t>
  </si>
  <si>
    <t>017-934-11 от 01.05.11</t>
  </si>
  <si>
    <t>Электромонтажные и пусконаладочные работы по ликвидации последствий аварии после падения крана БК-1000 Б.</t>
  </si>
  <si>
    <t>Электромонтажные и пусконаладочные работы</t>
  </si>
  <si>
    <t>ЦС-06у-11-783 от 26.09.11</t>
  </si>
  <si>
    <t>"Реконструкция целлюлозного производства. 1-я очередь строительства. Варочный отдел хвойного потока. Отдел промывки, сортирования и кислородной делигнификации хвойного потока. Отбельный отдел хвойного потока"</t>
  </si>
  <si>
    <t>Демонтаж оборудования и кабельной трассы РП-7А и РП-7Б. СМР</t>
  </si>
  <si>
    <t>017-305-12 от 13.02.12</t>
  </si>
  <si>
    <t xml:space="preserve"> "Реконструкция целлюлозного производства. 1-я очередь строительства. Сушильный цех хвойного потока"</t>
  </si>
  <si>
    <t>017-1019-12 от 01.07.12</t>
  </si>
  <si>
    <t>Реализация проекта "Реконструкция целлюлозного производства. 1-я очередь строительства"</t>
  </si>
  <si>
    <t xml:space="preserve">Электромонтажные работы по устройству временного освещения </t>
  </si>
  <si>
    <t>Монтаж силового электрооборудования,  КИПиА, кабельно-проводниковой продукции и  вспомогательных материалов в зоне сушильного цеха. Электромонтажные и пусконаладочные работы</t>
  </si>
  <si>
    <t>ЦС-07у-12/942 от 07.08.12</t>
  </si>
  <si>
    <t>Реализация проекта "Реконструкция турбинного отделения КТС ТЭС-3 с установкой двух противодавленческих турбин с давлением острого пара 90 бар"</t>
  </si>
  <si>
    <t>Электромонтажные и пусконаладочные работы электрической системы 6 кВ главного распределительного устройства</t>
  </si>
  <si>
    <t>017-766-13 от 13.06.13</t>
  </si>
  <si>
    <t xml:space="preserve"> СРК-14 и Выпарной цех</t>
  </si>
  <si>
    <t xml:space="preserve">Электромонтажные и пусконаладочные работы </t>
  </si>
  <si>
    <t>017-842-13 от 01.02.13</t>
  </si>
  <si>
    <t>"Реконструкция целлюлозного производства. 1-я очередь строительства. Сушильный отдел хвойного потока. Упаковочное отделение хвойного потока".</t>
  </si>
  <si>
    <t>"Реконструкция целлюлозного производства. 1-я очередь строительства. Сушильный отдел хвойного потока".</t>
  </si>
  <si>
    <t>017-1195-13 от 15.02.13</t>
  </si>
  <si>
    <t>Работы по монтажу электрооборудования.</t>
  </si>
  <si>
    <t>05.2013</t>
  </si>
  <si>
    <t>Комплекс монтажных и пусконаладочных работ</t>
  </si>
  <si>
    <t>017-1088-13 от 31.01.13</t>
  </si>
  <si>
    <t>"Реконструкция целлюлозного производства. 1-я очередь строительства. ЦКРИ".</t>
  </si>
  <si>
    <t>Монтажные работы по прокладке кабеля и работы по испытанию и определению повреждений кабеля 6 кВ на РП 23</t>
  </si>
  <si>
    <t>017-1557-13 от 10.12.13</t>
  </si>
  <si>
    <t>017-1426-13 от 11.11.13</t>
  </si>
  <si>
    <t>РП-16 цеха электроснабжения (ЦЭС)</t>
  </si>
  <si>
    <t>017-1315-13 от 09.10.13</t>
  </si>
  <si>
    <t>Реконструкция ЦП. 1-я очередь строительства. Варочный отдел хвойного потока. Отдел промывки, сортировки и кислородной делигнификации хвойного потока. Отбельный отдел хвойного потока.</t>
  </si>
  <si>
    <t>Электромонтажные работы</t>
  </si>
  <si>
    <t>01.05.2013</t>
  </si>
  <si>
    <t>30.11.2013</t>
  </si>
  <si>
    <t xml:space="preserve"> Реконструкция ЦП.1-я очередь строительства. Технологическая станция СРК-12.</t>
  </si>
  <si>
    <t>Работы по монтажу силового электрооборудования и пусконаладочные работы</t>
  </si>
  <si>
    <t>017-1521-13 от 01.04.13</t>
  </si>
  <si>
    <t>017-1729-13 от 01.12.13</t>
  </si>
  <si>
    <t>Пусконаладочные работы шинопроводов 3,4 и РП-7А, 7Б</t>
  </si>
  <si>
    <t>017-1497-13 от 22.11.13</t>
  </si>
  <si>
    <t>Электромонтажные работы реконструкции шинопроводов 3,4 РП-7А, РП-7Б</t>
  </si>
  <si>
    <t>01.2014</t>
  </si>
  <si>
    <t>Реконструкция турбинного отделения КТЦ ТЭС-3 с установкой двух противодавленческих турбин с давлением острого пара 90 бар</t>
  </si>
  <si>
    <t>017-315-14 от 03.03.14</t>
  </si>
  <si>
    <t>05.2014</t>
  </si>
  <si>
    <t>Пусконаладочные работы по шкафам защиты минимального напряжения распределительных устройств РП-7А, РП-7Б</t>
  </si>
  <si>
    <t>017-422-14 от 31.03.14</t>
  </si>
  <si>
    <t>Станция№1 для выпаривания черного щелока; турбинный цехТЭС-3; насосная станция 2 подъема; ХВО-1; СЦ ПЛЦ; ВОЦ ПЛЦ</t>
  </si>
  <si>
    <t>Работы по замене кабельных трасс</t>
  </si>
  <si>
    <t>017-645-14 от 01.04.14</t>
  </si>
  <si>
    <t>Реконструкция ЦП, 1-я очередь строительства. Техническое перевооружение ЦКРИ</t>
  </si>
  <si>
    <t>017-1336-14 от 26.11.14</t>
  </si>
  <si>
    <t>03.2015</t>
  </si>
  <si>
    <t>017-066-15 от 03.02.2015</t>
  </si>
  <si>
    <t>Работы по ликвидации последствий после падения крана SKR-3500: ЭМР по временному восстановлению шинопроводов №3,4</t>
  </si>
  <si>
    <t>017-1227-14 от 26.11.14</t>
  </si>
  <si>
    <t>Работы по ликвидации последствий после падения крана SKR-3500: ЭМР по полному восстановлению шинопроводов №3,4</t>
  </si>
  <si>
    <t>017-283-15 от 05.03.2015</t>
  </si>
  <si>
    <t>Реализация проекта "Приведение кабельного туннеля в соответствие  нормам и правилам"</t>
  </si>
  <si>
    <t>Реализация проекта "Строительство отдела разложения сульфатного мыла" (ОРСМ)</t>
  </si>
  <si>
    <t>017-1116-15 от 25.06.2015</t>
  </si>
  <si>
    <t xml:space="preserve">Электромонтажные и пусконаладочные работы  по выносу кабелей 6 кВ из кабельного тоннеля ЦЭС под землей от ХВО </t>
  </si>
  <si>
    <t>Реализация проекта "Приобретение силового трансформатора  ТРДЦН-80/110" ЦЭС ХП</t>
  </si>
  <si>
    <t>Демонтаж головного трансформатора Т-2, перевозка трансформатора с ГПП-3 до площадки хранения, реконструкция маслоприемника головного трансформатора Т-2, перевозка трансформатора с ж/д тупика, монтаж и пусконаладочные  работы головного трансформатора Т-2.</t>
  </si>
  <si>
    <t>03.2016</t>
  </si>
  <si>
    <t>017-1859-15 от 24.11.2015</t>
  </si>
  <si>
    <t>017-1906-15 от 27.11.15</t>
  </si>
  <si>
    <t>Реализация проекта "Перенос ПОУ 13/4 с аварийного здания в ТО ТЭС-2"</t>
  </si>
  <si>
    <t>Электромонтажные и пусконаладочные работы по установке трансформаторной подстанции мазутонасосного хозяйства</t>
  </si>
  <si>
    <t>Монтаж кабелей управления и сигнализации РЗиА.
Монтаж кабельных конструкций. Кабельное хозяйство в главном корпусе.
Заземление машинного отделения в главном корпусе.
Монтаж Электрооборудования. Выводы генератора. Приобретение электрооборудования.
Монтаж кабелей управления и сигнализации РЗиА.
Монтаж вторичной коммутации элементов главной схемы, собственных нужд, электрооборудования тиристорной системы возбуждения.
Внедрение полномасштабной АСУ ТП.</t>
  </si>
  <si>
    <t xml:space="preserve">Изготовление и монтаж металлоконструкций, порталов, устройство монолитных ж/б фундаментов. Такелаж и монтаж ВПТ АТ-1, АТ-2; 
монтаж КРУН-10кВ (36 ячеек), кабельных линий и их присоединение, реакторов 10 кВ, разъединителей 110 кВ, шкафов защит и автоматики, контура заземления.  Демонтаж, монтаж порталов и шинных мостов, ТТ-220кВ, вводов220 кВ. 
Пусконаладочные работы. </t>
  </si>
  <si>
    <t>Демонтаж, монтаж кабельных металлоконструкций, электроосвещения, электросилового оборудования, троллейных шинопроводов, низковольтных и высоковольтных ячеек, трансформаторов. Монтажные работы по электрооборудованию кранов, монтаж высоковольтного кабеля, концевых и соединительных муфт. Пусконаладочные работы.</t>
  </si>
  <si>
    <t>Электромонтажные работы  на ленточном конвейере 15-16</t>
  </si>
  <si>
    <t>Работы по замене масляных выключателей 6 кВ на элегазовые</t>
  </si>
  <si>
    <t>Реконструкция ЦП. 1-я очередь строительства. Отбельный цех ХП. Отдел промывки, сортировки и кислородной делигнификации.</t>
  </si>
  <si>
    <t xml:space="preserve">Отделение галереи шинопроводов 3,4  </t>
  </si>
  <si>
    <t>32</t>
  </si>
  <si>
    <t xml:space="preserve">КРУЭ 500кВ СПК
КРУЭ 220кВ СПК
</t>
  </si>
  <si>
    <t xml:space="preserve">Монтаж кабельных линий XLPE 500 кВ и 220кВ сечением 800 мм2, включая монтаж концевых муфт (производство SUEDKABEL, Германия). </t>
  </si>
  <si>
    <t>BGP024-СП от 27.12.11</t>
  </si>
  <si>
    <t xml:space="preserve">ПС 500/110/35кВ Тайшет.
Расширение и реконструкция ПС. 
г. Тайшет, Иркутской области </t>
  </si>
  <si>
    <t xml:space="preserve">ПС 500/220/35кВ Озерная.
Строительство ПС.
г. Тайшет, Иркутской области </t>
  </si>
  <si>
    <t>Монтаж электрооборудования (шкафы ПР).
Электромонтажные работы по электроосвещению</t>
  </si>
  <si>
    <t>ЛДК/18-06/11-Пд от 21.06.11
ЛДК/27-06/11-Пд от 27.06.11</t>
  </si>
  <si>
    <t>13/10 от 11.02.10</t>
  </si>
  <si>
    <t>33</t>
  </si>
  <si>
    <t>Такелажная разгрузка с железнодорожного транспорта, погрузка такелажным способом и последующая транспортировка 10 печных трансформаторов</t>
  </si>
  <si>
    <t>ООО "БЗФ"
 665716, Россия, Иркутская обл., г. Братск, П 01 11 01 00 Тел: (3953) 49-59-01
Управляющий директор В.Г. Прокопец</t>
  </si>
  <si>
    <t>ООО "БЗФ"
 665716, Россия, Иркутская обл., г. Братск, П 01 11 01 00 Тел: (3953) 49-59-01
Управляющий директор В.Г. Прокопец
Генподрядчик ООО "СМК"
665726, Иркутская обл., г. Братск, 
ул. Обручева 37-26</t>
  </si>
  <si>
    <t>Ремонтные и пусконаладочные работы по замене ввода 220 кВ ф.С на ОВ-2-220, ШОН на ВЛ 220кВ ЩБЦ-269</t>
  </si>
  <si>
    <t xml:space="preserve">ПС 500/110/35кВ Тайшет.
Расширение и реконструкция ПС. 
ПС 500/220/35кВ Озерная.
Строительство ПС. 
БПП 500 кВ. 
Реконструкция 
ПС 500 кВ Камала
Реконструкция </t>
  </si>
  <si>
    <t>Строительно-монтажные работы в части оборудования связи</t>
  </si>
  <si>
    <t>ПС 500/110/35кВ Тайшет.
Расширение и реконструкция ПС.</t>
  </si>
  <si>
    <t>Электромонтажные   работы по системе АСКУЭ яч.№ 11W5С (504)</t>
  </si>
  <si>
    <t>616-201/И-12/12(14) от 01.09.12</t>
  </si>
  <si>
    <t>27/2011 от 01.03.11</t>
  </si>
  <si>
    <t>201 от 28.06.12
251 от 20.08.12</t>
  </si>
  <si>
    <t>Такелажная разгрузка с железнодорожного транспорта, погрузка такелажным способом и последующая транспортировка и установка на площадке хранения трансформатора ТРДН 80000/110</t>
  </si>
  <si>
    <t>Капитальный ремонт агрегата трансформаторного ЭОЦНК 21000/10-83 УХЛ (2 шт)</t>
  </si>
  <si>
    <t>17/ЗЭС от 07.02.13</t>
  </si>
  <si>
    <t xml:space="preserve">Разгрузка и консервация трансформаторов КПП-1, КПП-2, ГПП, монтаж резервуаров склада масла </t>
  </si>
  <si>
    <t>446001С126 от 31.10.2008</t>
  </si>
  <si>
    <t>10.2008</t>
  </si>
  <si>
    <t xml:space="preserve">Строительно-монтажные и пусконаладочные  работы по замене  масляных выключателей МВ-110, ОМВ-110, МКП-110 на элегазовые выключатели типа 3АР1 DT производства Siemens, Германия в ОРУ-110 кВ
</t>
  </si>
  <si>
    <t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
Ген. директор Шалак Г.Н.</t>
  </si>
  <si>
    <t>Разгрузка преобразовательно-регулировочных трансформаторов Alstom</t>
  </si>
  <si>
    <t>508С001Р370 от 07.06.12</t>
  </si>
  <si>
    <t>КРУЭ 220 кВ, КПП1, ГПП</t>
  </si>
  <si>
    <t>508С001С205 от 18.12.12</t>
  </si>
  <si>
    <t>Цех ремонта и чистки ковшей</t>
  </si>
  <si>
    <t>508С001С296 от 08.05.13</t>
  </si>
  <si>
    <t xml:space="preserve">Строительно-монтажные работы по объекту: "Телеканалы ВЛ-500кВ" 
-Монтаж оборудования, демонтаж-монтаж кабельных связей.
</t>
  </si>
  <si>
    <t>БПП 500 кВ. 
Реконструкция 
Телеканалы ВЛ-500кВ
п. Турма, Иркутская обл.</t>
  </si>
  <si>
    <t>72/2013 от 20.05.13</t>
  </si>
  <si>
    <t>53/13 от 06.06.13</t>
  </si>
  <si>
    <t>ПС 500 кВ "Ангара" 
Красноярский край</t>
  </si>
  <si>
    <t>97/13 от 18.09.13</t>
  </si>
  <si>
    <t>Строительно-монтажные и электромонтажные работы по устройству: систем ВЧ-связи ЦСПИ ВОЛС на ПС 500 кВ "Ангара"; 
ЦСПИ ВОЛС на усиленном пункте в п.Тиличеть-II объекта "Расширение подстанции Тайшет-2 (Озерная) в части подключения воздушной линии электропередачи от ПС Ангара до ПС Тайшет-2 (Озерная)"</t>
  </si>
  <si>
    <t>Строительство ПС 220/110/10 кВ «Восточная»:
- монтаж (включая опорные металлоконструкции) основного электротехнического оборудования (220 кВ, 110 кВ и 10 кВ);
- монтаж оборудования систем РЗА, ПА, АИИСКУЭ, АСУТП, систем ВЧ связи, ВОЛС, технологической связи, (включая прокладку силовых и контрольных кабелей);
-монтаж  автотрансформаторов OSFSZ-250000/220/110-УХЛ1 - 2 шт;
-монтаж гибкой и жесткой ошиновки 220кВ, 110кВ;
-поставка оборудования;
- пусконаладочные работы;</t>
  </si>
  <si>
    <t xml:space="preserve">05.2015 </t>
  </si>
  <si>
    <t>60/13 от 06.06.13</t>
  </si>
  <si>
    <t>30 от 10.07.13</t>
  </si>
  <si>
    <t>№ 55 от 13.12.2013</t>
  </si>
  <si>
    <t xml:space="preserve"> ПС 220кВ Кодинская ГПП
ЗРУ2 10кВ
Реконструкция линейных ячеек 10кВ. 
г.Кодинск,  Красноярский край, Кежемский р-н</t>
  </si>
  <si>
    <t>Разработка рабочей документации;
Организация авторского надзора;
Поставка и монтаж линейной ячейки ЗРУ 10кВ. Монтаж кабельно-проводниковой продукции.
Пусконаладочные работы.</t>
  </si>
  <si>
    <t>0489/2012-э-в от 01.08.12</t>
  </si>
  <si>
    <t>ПАО "Камчатскэнерго" 683000 г. Петропавловск-Камчатский 
ул. Набережная 10                    Тел: (4152) 421006, Факс: (4152) 412026
Генеральный директор Кондратьев С.Б.</t>
  </si>
  <si>
    <t>ПС 110/10 кВ "Северная" 
Реконструкция ПС
г. Петропавловск-Камчатский, м-р Северо-Восток,  Камчатский  край</t>
  </si>
  <si>
    <t>Строительно-монтажные, пусконаладочные работы, комплектация оборудованием и материалами, авторский надзор за строительством.</t>
  </si>
  <si>
    <t>10-12/14 от 02.06.14</t>
  </si>
  <si>
    <t>ГП-834 о 24.12.14</t>
  </si>
  <si>
    <t>11.2016</t>
  </si>
  <si>
    <t>Склад глинозема, склад фторсолей и УПСГ в бункер ГОУ1</t>
  </si>
  <si>
    <t xml:space="preserve"> КПП-2</t>
  </si>
  <si>
    <t xml:space="preserve">Работы по обеспечению длительного хранения трансформаторов КПП-2 (консервация регулировочных автотрансформаторов мощностью 148 МВА и преобразовательных трансформаторов
 мощностью 2х74 МВА (производство AREVA, Франция)).
</t>
  </si>
  <si>
    <t>508С001С382 от 24.04.14</t>
  </si>
  <si>
    <t>508С001С361 от 23.01.14</t>
  </si>
  <si>
    <t>Корпус электролиза</t>
  </si>
  <si>
    <t xml:space="preserve">508С001С410 от 16.08.14 </t>
  </si>
  <si>
    <t>08.16</t>
  </si>
  <si>
    <t>Анодно-монтажное отделение</t>
  </si>
  <si>
    <t xml:space="preserve">508С001С415 от 21.08.14 </t>
  </si>
  <si>
    <t xml:space="preserve">508С001С417 от 20.08.14 </t>
  </si>
  <si>
    <t>01.2017</t>
  </si>
  <si>
    <t xml:space="preserve"> Отделение переработки электролита (ОПЭ)-</t>
  </si>
  <si>
    <t>558С001С442 от 28.10.14</t>
  </si>
  <si>
    <t>03.2017</t>
  </si>
  <si>
    <t>9110С284 от 15.10.14</t>
  </si>
  <si>
    <t>Комплекс монтажных и пусконаладочных работ электротехнического оборудования сухой газоочистной установки №42 (СГОУ №42)
(Монтаж РП-7, кабельных сетей, электроосвещение, Измерения и испытания электрооборудования СГОУ №42)</t>
  </si>
  <si>
    <t>Илимхимпром
Ремонтно-восстановительные работы
Промплощадка ОАО "Братсккомплексхолдинг", г. Братск, Иркутская обл.</t>
  </si>
  <si>
    <t>Ремонтно-восстановительные работы электрооборудования ячейки №37 ЗРУ-10 ГПП-3, электрооборудования ячейки КРУ-841 КВЗ-6-13-630 в ЦЭС. Проведение испытаний электрооборудования для выявления дефектов.</t>
  </si>
  <si>
    <t>220-144-14 от 25.07.14</t>
  </si>
  <si>
    <t xml:space="preserve">АО "Илимхимпром" (ЗАО)
665718, Иркутская обл. г. Братск, а/я 488
Генеральный директор 
Журавлева Анастасия Валерьевна 
</t>
  </si>
  <si>
    <t>156 от 19.06.13
231 от 12.09.13</t>
  </si>
  <si>
    <t>230 от 18.08.14
320 от 17.11.14</t>
  </si>
  <si>
    <t>1-СМПР от 17.11.14</t>
  </si>
  <si>
    <t>340 от 08.12.14
176 от 17.08.2015</t>
  </si>
  <si>
    <t>73 от 07.04.15</t>
  </si>
  <si>
    <t xml:space="preserve">ПС 110/10 кВ "Еловка" с ВЛ 110 кВ 
Строительство ПС 
Иркутская обл.,  Ангарский район, поселок городского типа Мегет
</t>
  </si>
  <si>
    <t>69/14 от 09.10.14</t>
  </si>
  <si>
    <t>Строительно-монтажные работы (монтаж ОРУ-110 кВ, двух силовых трансформаторов 110/10 кВ мощностью 25 МВА каждый, двух трансформаторов СН 10/0,4 кВ, ЗРУ-10 кВ, ОПУ, монтаж шкафного оборудования и кабельного хозяйства);
Пусконаладочные работы.
Поставка оборудования.</t>
  </si>
  <si>
    <t>283/16 от 24.03.14</t>
  </si>
  <si>
    <t>ООО "Альстом Грид-Русал электроинжиниринг"               
620017, г. Екатеринбург, пр. Космонавтов, 7                           тел. (343) 310 13 42              
Генеральный директор Ф.Пешу</t>
  </si>
  <si>
    <t>14-AREот01.10.14</t>
  </si>
  <si>
    <t xml:space="preserve">Работы по ремонту регулировочных автотрансформаторов мощностью 148 МВА и преобразовательных трансформаторов 
мощностью 2х74 МВА (производство AREVA, Франция) на КПП. 
Приемо-сдаточные испытания и ПНР оборудования КПП
</t>
  </si>
  <si>
    <t xml:space="preserve">ООО "Энергетический Стандарт" 119180, Москва, ул. Большая Якиманка, д.21
 тел. (499) 286-22-33, 286-22-44
     </t>
  </si>
  <si>
    <t xml:space="preserve">Работы по демонтажу, ревизии активной части с подъемом колокола и монтажу реактора РТУ-180000/500-УХЛ1 зав. №162103, установленном в ячейке 576 </t>
  </si>
  <si>
    <t>128 от 20.01.15</t>
  </si>
  <si>
    <t>ОАО "Группа "Илим" в г. Братске</t>
  </si>
  <si>
    <t>ООО "Инженерный центр "Энергосервис"
г. Архангельск, ул. Котласская, 26
Тел. 65-75-65, 64-60-00
Генеральный директор Флейшман И.Л.</t>
  </si>
  <si>
    <t>АНО "Возрождение"
665708, г. Братск, ж/р Центральный, ул. Мира, 32 
Генеральный директор Васильев А.М.</t>
  </si>
  <si>
    <t>12.2017</t>
  </si>
  <si>
    <t>Электромонтажные работы по установке батарей статических конденсаторов на филиале ОАО "Группа "Илим" в г. Братске</t>
  </si>
  <si>
    <t>Электромонтажные работы  культурно-просветительского центра (Храм)</t>
  </si>
  <si>
    <t>151 от 27.07.15</t>
  </si>
  <si>
    <t>ПС 220 кВ "БЦБК"
Реконструкция ПС
Иркутская обл., Слюдянский район, г. Байкальск</t>
  </si>
  <si>
    <t xml:space="preserve">Строительно-монтажные и пусконаладочные работы по реконструкции устройств релейной защиты и автоматики трансформаторов Т-1, Т-2, Т-3, Т-4, СВ-6 кВ, ВЛ-35 кВ ГПП-А, Б, СВ-35кВ, ТН-1,2-35 кВ, ДЗШ-35 кВ, центральной сигнализации; реконструкцию схемы питания собственных нужд постоянного и переменного тока; установку новой АКБ.
</t>
  </si>
  <si>
    <t>46/2015 от 02.11.15</t>
  </si>
  <si>
    <t>ПС Ново-Зиминская,  БПП 500 кВ 
Реконструкция 
Иркутская обл.</t>
  </si>
  <si>
    <t>Строительно-монтажные работы по реконструкции устройств РЗА ВЛ 500 кВ №560 БПП - ПС Ново-Зиминская на ПС Новозиминская и БПП 500 кВ с реализацией ОАПВ</t>
  </si>
  <si>
    <t xml:space="preserve"> Электромонтажные работы по монтажу системы управления компрессорами высокого и низкого давления инв. №00043203
</t>
  </si>
  <si>
    <r>
  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</t>
    </r>
    <r>
      <rPr>
        <sz val="9"/>
        <rFont val="Times New Roman"/>
        <family val="1"/>
        <charset val="204"/>
      </rPr>
      <t>Черных О.Г.</t>
    </r>
  </si>
  <si>
    <t xml:space="preserve">09.2016
 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</si>
  <si>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ЗАО «ЭК «ЭВАЛИС»
665821, РФ, Иркутская область, г. Ангарск,
ул. Карла Маркса 71
Генеральный директор  Борисов М.В.</t>
  </si>
  <si>
    <t>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Генподрядчик: ООО "ЕвроСибЭнерго-инжиниринг" 
 664050,г. Иркутск, ул. Байкальская, д. 259
тел.: (3952) 794-683, факс: (3952) 794-546
Генеральный директор Погосбеков Д.Д.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</si>
  <si>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 
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</si>
  <si>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</t>
    </r>
    <r>
      <rPr>
        <sz val="9"/>
        <rFont val="Times New Roman"/>
        <family val="1"/>
        <charset val="204"/>
      </rPr>
      <t>Генподрядчик  ООО «ЕвроСибЭнерго-инжиниринг»
 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</si>
  <si>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Подрядчик: АО "Энергетические технологии"
664033, г. Иркутск, ул. Лермонтова, 130, оф. 110, Тел.: (3952) 423-523
Генеральный директор Черных О.Г.</t>
    </r>
  </si>
  <si>
    <t>КГКУ "Дирекция по комплексному развитию Нижнего Приангарья" (КГКУ "ДКР НП")            660017, г. Красноярск, ул. Урицкого, д. 123,                  тел. (391) 227-81-31, 227-81-53                Генподрядчик  ООО «ЕвроСибЭнерго-инжиниринг» 
 664050,г. Иркутск, ул. Байкальская, д. 259
тел.: (3952) 794-683, факс: (3952) 794-546
Генеральный директор Погосбеков Д.Д.</t>
  </si>
  <si>
    <t xml:space="preserve">
ПАО «Богучанская ГЭС» в лице 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Чернявский С.Ю.</t>
  </si>
  <si>
    <t>BGC 166 от 21.11.08</t>
  </si>
  <si>
    <t>текущее время  
(98% на 01.2017 )</t>
  </si>
  <si>
    <t xml:space="preserve">BGC 078 от 06.09.10 </t>
  </si>
  <si>
    <t>текущее время  
(99% на 01.2017 )</t>
  </si>
  <si>
    <t>текущее время  
(99,7% на 01.2017 )</t>
  </si>
  <si>
    <t>BGC 081 от 10.08.11</t>
  </si>
  <si>
    <t>BGC 378 от 22.04.15</t>
  </si>
  <si>
    <t>текущее время  
(45% на 01.2017 )</t>
  </si>
  <si>
    <t xml:space="preserve">BGC 366 от 12.05.15 </t>
  </si>
  <si>
    <t>текущее время  
(93% на 01.2017 )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</si>
  <si>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Чернявский С.Ю.
Генподрядчик: ЗАО «Электротехническая компания», 614111, Пермский край, г. Пермь, ул. Солдатова, 29/2   Тел./ф. (342)242-00-00, Генеральный директор Потанин В.А.</t>
  </si>
  <si>
    <t>4.18</t>
  </si>
  <si>
    <t>Строительно-монтажные   работы по замене ЩПТ-5 с аккумуляторной батареей</t>
  </si>
  <si>
    <t>Монтаж частотного регулирования ЛК-1. Замена светильников приводных и натяжных станций ЛК</t>
  </si>
  <si>
    <t xml:space="preserve">ОАО «Иркутская электросетевая компания» 664033, г. Иркутск, ул. Лермонтова 257, Тел: (3952) 792-459 Факс: (3952) 792-461 
Генеральный директор Каратаев Б.Н.
Северные электрические сети
Директор филиала СЭС Ковалёв П.В.
665709, Иркутская область, г. Братск, а/я 786 
Тел. (3953) 33-17-27, </t>
  </si>
  <si>
    <t xml:space="preserve">ПС-110/6 кВ "Верхнемарково" с отпайкой ВЛ-110 кВ
Строительство ПС.
Иркутская обл., Усть-Кутский р-н, п. Верхнемарково
</t>
  </si>
  <si>
    <t>ПС 110/10 кВ "Северная" 
Реконструкция ПС
г.Братск, Иркутская обл.</t>
  </si>
  <si>
    <t>ПС 220/110/35/6 кВ "Коршуниха", ПС "Н-Коршуниха", Седановский ПП
Реконструкция   
Иркутская обл.</t>
  </si>
  <si>
    <t>ОАО "СУАЛ"
623406 Свердловская обл., г. Каменск-Уральский, ул.Заводская,10
Филиал «ИркАЗ-СУАЛ» ОАО "СУАЛ"
 666034, г. Шелехов ул. Индустриальная,4
Тел. (39510) 9-42-13 
Генеральный директор Гринберг И.С.</t>
  </si>
  <si>
    <t xml:space="preserve">ПС 220/10 кВ "Шелехово"
г.Шелехово, Иркутская обл. Реконструкция ПС   </t>
  </si>
  <si>
    <t xml:space="preserve">ПС 500/220 "Шелеховская" (Ключи) г.Шелехово, Иркутская обл. Реконструкция ПС   </t>
  </si>
  <si>
    <t>34.1</t>
  </si>
  <si>
    <t>34.2</t>
  </si>
  <si>
    <t>35</t>
  </si>
  <si>
    <t>Комплекс работ  по строительству объекта:
 "Расширение ПС 500 кВ Озерная в части подключения ВЛ 500 кВ Богучанская ГЭС-Озерная" по титулу "ВЛ 500кВ Богучанская ГЭС - Озерная" (Установка УШР, ОРУ 500кВ с жесткой ошиновкой, релейная защита, управление и автоматика, ВЧ-связь, ВОЛС,  АИИСКУЭ, АСУТП, видеонаблюдение)</t>
  </si>
  <si>
    <t>36</t>
  </si>
  <si>
    <t>37</t>
  </si>
  <si>
    <t>38</t>
  </si>
  <si>
    <t>39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</si>
  <si>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Ю.А.
Генподрядчик: ООО «ЕвроСибЭнерго-инжиниринг»  
 664050,г.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</si>
  <si>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КГКУ "Дирекция по комплексному развитию Нижнего Приангарья" (КГКУ "ДКР НП")                660017, г. Красноярск, ул. Урицкого, д. 123,                 тел. (391) 227-81-31, факс: (391)227-81-53 
Генподрядчик: ООО «ЕвроСибЭнерго-инжиниринг»  
 664050, 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</si>
  <si>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40</t>
  </si>
  <si>
    <t>41</t>
  </si>
  <si>
    <t>42</t>
  </si>
  <si>
    <t>43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</si>
  <si>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 ООО "Инженерный центр "Иркутскэнерго",
г. Иркутск, б-р Рябикова 67, 
Тел. (3952) 790-711, Факс (3952) 790-742 
Директор Моисеев Т.В.</t>
    </r>
  </si>
  <si>
    <t>44</t>
  </si>
  <si>
    <t>45.1</t>
  </si>
  <si>
    <t>45.2</t>
  </si>
  <si>
    <t>46</t>
  </si>
  <si>
    <t>47</t>
  </si>
  <si>
    <t>48</t>
  </si>
  <si>
    <t xml:space="preserve">ПАО «ФСК ЕЭС» 117630, г. Москва, ул. Академика Челомея, д.5А. 
Филиал ПАО «ФСК ЕЭС»- ОАО "ЦИУС ЕЭС"-ЦИУС Сибири.
660099, Красноярский край, г. Красноярск, ул. Горького, д.3А, тел. (391) 274-67-00 </t>
  </si>
  <si>
    <t>49</t>
  </si>
  <si>
    <t>ООО "РУСАЛ Тайшетский Алюминиевый Завод"
РФ, 665023, Иркутская обл., Тайшетский р-н, с.Старый Окульшет, ул.Советская, д.41  Генеральный директор Голов А.С.</t>
  </si>
  <si>
    <t>Тайшетский Алюминиевый Завод  Иркутская область, Тайшетский район, село Старый Акульшет, территория Промпл. Тайшетского Алюминиевого завода</t>
  </si>
  <si>
    <r>
      <t xml:space="preserve">ПАО "РУСАЛ Братский Алюминиевый Завод" 665716, Иркутская область, г.Братск-16
Тел. (3953) 49-26-50
</t>
    </r>
    <r>
      <rPr>
        <sz val="9"/>
        <rFont val="Times New Roman"/>
        <family val="1"/>
        <charset val="204"/>
      </rPr>
      <t>Управляющий директор – Евгений Юрьевич Зенкин</t>
    </r>
  </si>
  <si>
    <t>50</t>
  </si>
  <si>
    <t>51</t>
  </si>
  <si>
    <t>52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</si>
  <si>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</si>
  <si>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</si>
  <si>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</si>
  <si>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</si>
  <si>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</si>
  <si>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</si>
  <si>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</si>
  <si>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</si>
  <si>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</si>
  <si>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 xml:space="preserve">Монтаж электрооборудования и электроосвещения объектов транспорта сырья
 </t>
  </si>
  <si>
    <t xml:space="preserve">Монтаж силового электрооборудования, устройство электроосвещения, общестроительные и пусконаладочные работы
</t>
  </si>
  <si>
    <t xml:space="preserve">Монтаж электрооборудования, электроосвещения и АСУТП АМО
</t>
  </si>
  <si>
    <t xml:space="preserve">Работы по монтажу технологического оборудования Анодно-монтажного отделения (АМО):
- монтаж системы отопления; 
- монтаж системы вентиляции и аспирации; 
- монтаж системы воздухоснабжения; 
- монтаж трубопроводов подачи аргона.
</t>
  </si>
  <si>
    <t xml:space="preserve">Монтаж внутренних промышленных трубопроводов, водопроводов и канализации, отопления и вентиляции
</t>
  </si>
  <si>
    <t>53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</si>
  <si>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</si>
  <si>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</si>
  <si>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</si>
  <si>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</si>
  <si>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</si>
  <si>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</si>
  <si>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</si>
  <si>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</si>
  <si>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</si>
  <si>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</si>
  <si>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</si>
  <si>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</si>
  <si>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</si>
  <si>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</si>
  <si>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</si>
  <si>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</si>
  <si>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</si>
  <si>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</si>
  <si>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</si>
  <si>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</si>
  <si>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</si>
  <si>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</si>
  <si>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</si>
  <si>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</si>
  <si>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</si>
  <si>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</si>
  <si>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</si>
  <si>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</si>
  <si>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</si>
  <si>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54</t>
  </si>
  <si>
    <t>55</t>
  </si>
  <si>
    <t>56</t>
  </si>
  <si>
    <t>57</t>
  </si>
  <si>
    <t>58.1</t>
  </si>
  <si>
    <t>Дозировочное отделение. Монтаж оборудования, ЩСУ, кабельных связей ЩСУ.</t>
  </si>
  <si>
    <t>58.2</t>
  </si>
  <si>
    <t>58.3</t>
  </si>
  <si>
    <t>58.4</t>
  </si>
  <si>
    <t>58.5</t>
  </si>
  <si>
    <t>58.6</t>
  </si>
  <si>
    <t>59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</si>
  <si>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ООО "Аргон"
666683, Иркутская область, г Усть-Илимск, ул. Героев Труда, д 49, кв. 85 
Директор Землякова Т.С.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</si>
  <si>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 Чернявский С.Ю.
Подрядчик: АО "Гидроэлектромонтаж"
675000, Амурская область, г. Благовещенск, ул. Зейская, 225/3
Генеральный директор В.А. Васильев</t>
  </si>
  <si>
    <t>ПС 220/100 кВ "Восточная" 
Строительство ПС
г. Иркутск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</si>
  <si>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
Генподрядчик: ООО «ЕвроСибЭнерго-инжиниринг» 
664050,г. Иркутск, ул. Байкальская, д. 259
тел.: (3952) 794-683, факс: (3952) 794-546
Генеральный директор Погосбеков Д.Д.</t>
  </si>
  <si>
    <t xml:space="preserve">Монтаж автотрансформаторов АОДЦН-167000/500/220 - 3 шт.  Монтаж электрооборудования 500кВ и жесткой ошиновки 500кВ, 220кВ. Устройство фундаментов под оборудование и жесткую ошиновку 220кВ. Изготовление и монтаж металлоконструкций под оборудование и жесткую ошиновку 500кВ, 220кВ. Монтаж кабельно-проводниковой продукции, монтаж ОРУ-35кВ </t>
  </si>
  <si>
    <t xml:space="preserve">ПС 500 кВ "Озерная" 
Строительство ПС
г. Тайшет Иркутской обл.
(ВЛ 500кВ Богучанская ГЭС - Озерная) </t>
  </si>
  <si>
    <t xml:space="preserve">ПАО «ФСК ЕЭС»                
117630, г. Москва, ул. Академика Челомея, д.5А.
Генподрядчик  ООО «ЕвроСибЭнерго-инжиниринг» 
 664050,г. Иркутск, ул. Байкальская, д. 259
тел.: (3952) 794-683, факс: (3952) 794-546
Генеральный директор Погосбеков Д.Д.
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</si>
  <si>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Э.А.., 
Генподрядчик: АО "Энергетические технологии" 
664033, г. Иркутск, ул. Лермонтова, 130, оф. 110, Тел.: (3952) 423-523
Генеральный директор Черных О.Г.</t>
  </si>
  <si>
    <t>ПС 500/220/35 кВ "Озерная"
 г. Тайшет,  Иркутская обл.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</si>
  <si>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Эдуард Александрович;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</si>
  <si>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Э.А.
Подрядчик: АО "ИРМЕТ" 
664050, г. Иркутск, ул. Байкальская, 239, корпус 26 А
Директор С.Г. Шатнев</t>
  </si>
  <si>
    <t>ЭМР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</si>
  <si>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r>
      <t xml:space="preserve"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</t>
    </r>
    <r>
      <rPr>
        <sz val="9"/>
        <rFont val="Times New Roman"/>
        <family val="1"/>
        <charset val="204"/>
      </rPr>
      <t>Генеральный директор филиала – Очайкин Д.В.</t>
    </r>
  </si>
  <si>
    <t>Разработка рабочей документации;
Организация авторского надзора;
Демонтаж внутреннего оборудования двух ячеек РУ10кВ. Поставка  и  монтаж выключателей 10 кВ, оборудования АИИС КУЭ, РЗА, ТМ в ячейках. Монтаж кабельно-проводниковой продукции.
Пусконаладочные работы.</t>
  </si>
  <si>
    <t xml:space="preserve"> ПС 220кВ Кодинская ГПП
ЗРУ 10кВ
Расширение ЗРУ 10кВ на одну линейную ячейку 
г. Кодинск,  Красноярский край, Кежемский р-н</t>
  </si>
  <si>
    <t>Новая котельная каркасного типа отделения "Теплоэнерго" г. Елизово, Площадка котельной № 2 
г. Елизово, Камчатский край
Строительство котельной</t>
  </si>
  <si>
    <t>Строительно-монтажные и демонтажные работы ОРУ 110 кВ.
Монтаж трансформатора ТДН-25000/110/10; оборудования ОРУ 110 кВ; шкафов КРУ 10 кВ; ошиновки 10 кВ; кабельного хозяйства; оборудования АСУ, РЗА, ВЧ-связи.
Пусконаладочные работы</t>
  </si>
  <si>
    <t>ПС 35/10 кВ "Морозная"
Строительство ПС
 г. Елизово, м-р Северо-Запад,
Камчатский край</t>
  </si>
  <si>
    <t>Поставка оборудования. 
Строительно-монтажные работы:
-Устройство фундаментов под оборудование;
-монтаж порталов  35 кВ и 10кВ;
-Устройство ограждения подстанции;
-Монтаж заземления и кабельных трасс ПС;
- Установка опор ВЛ;
-Монтаж трансформаторов ТМН-630/35/10;
-Монтаж ЗРУ 35 кВ и ЗРУ 10 кВ;
-Монтаж системы освещения , видеонаблюдения и СКУД;
-Прокладка кабеля 10 кВ до горнолыжной базы "Морозная". 
Пусконаладочные работы.</t>
  </si>
  <si>
    <t>Братский Алюминиевый Завод
Реконструкция завода
г. Братск, Иркутская обл.</t>
  </si>
  <si>
    <t>Строительная площадка Богучанского алюминиевого завода,  
п. Таёжный,  Красноярский край</t>
  </si>
  <si>
    <t>Богучанский Алюминиевый Завод п. Таёжный,  Красноярский край
Строительство завода</t>
  </si>
  <si>
    <t>Строительная площадка Богучанского алюминиевого завода,  п. Таёжный,  Красноярский край</t>
  </si>
  <si>
    <t>Электромонтажные, пусконаладочные работы и монтаж технологического оборудования.
- Монтаж электрооборудования и электроосвещения; 
- монтаж оборудования для выплавки вакуум-носков; 
- монтаж установки для разрушения футеровки ковшей; 
- монтаж машины для чистки ковшей; 
- монтаж оборудования для сушки ковшей; 
- монтаж системы воздухоснабжения цеха; 
- монтаж трубопроводов подачи масла.</t>
  </si>
  <si>
    <t>АО "Группа Илим"
 г. Братск Иркутской обл.</t>
  </si>
  <si>
    <t>Реализация проекта "Изменение схемы питания распределительных устройств ПОСП КС-1"</t>
  </si>
  <si>
    <t xml:space="preserve">АО "Группа «Илим"
191025, г. Санкт-Петербург, ул. Марата,17,
Филиал  АО "Группа «Илим" в г. Братске, 665718, РФ, Иркутская обл., г. Братск
Тел: (3953) 340106, </t>
  </si>
  <si>
    <t>Работы по ликвидации последствий после падения крана SKR-3500: монтаж кабеля диф. защиты ШП 3,4 и резервного ввода; ПНР и испытание кабеля диф.защиты резервного ввода РП-10, ШП 3,4; ЭМР по кабельной трассе ТЭЦ-6 РП-10.</t>
  </si>
  <si>
    <t>АО "Группа Илим" 
г. Усть-Илимск, Иркутская обл.
СРК-1</t>
  </si>
  <si>
    <t>АО "Группа Илим"
191025, г. Санкт-Петербург, ул. Марата,17,
Филиал  АО "Группа «Илим" в г. Усть-Илимске
666684, Россия, Иркутская область, промплощадка ЛПК, Тел.: (39535) 9-22-66 
Генподрядчик- ООО "Илимтехносервис"</t>
  </si>
  <si>
    <t xml:space="preserve">СМР по замене первой камеры электрофильтра СРК-1 
-Демонтаж, монтаж кабельных конструкций, кабеля; монтаж шин и шинопровода; монтаж высоковольтных трансформаторов-выпрямителей; заземление электростатического фильтра; освещение; вентиляция.
</t>
  </si>
  <si>
    <t>Строгальный цех. Лесопильно-деревообрабатывающий комплекс  по выпуску пиломатериалов (ЛДК Игирма)
п. Новая Игирма,  Иркутская обл.</t>
  </si>
  <si>
    <t>ЗАО "ЛДК Игирма"
664075, Иркутск, ул. Байкальская, д.234</t>
  </si>
  <si>
    <t>Директор ООО "БМУ ГЭМ"                                                                                                                                                         А.В. Хабуктанов</t>
  </si>
  <si>
    <t>Культурно-просветительский центр (Храм)
Строительство
г. Братск, ж/р Центральный, ул. Мира, 32</t>
  </si>
  <si>
    <t xml:space="preserve">Производственная площадка Братского завода ферросплавов 
г. Братск Иркутская обл.
</t>
  </si>
  <si>
    <t xml:space="preserve">
Иркутская ГЭС
г. Иркутск</t>
  </si>
  <si>
    <t xml:space="preserve">ПС-35/6кВ "Новый Невон" и ВЛ-110кВ
пос. Невон, Усть Илимский район, Иркутская обл. </t>
  </si>
  <si>
    <t xml:space="preserve">ПС "Падунская" 
Реконструкция ПС 
г.Братск,  Иркутская  обл.
</t>
  </si>
  <si>
    <t xml:space="preserve">ПС 220/110/10 кВ "Заводская"
ПС 220/110/10 кВ "Опорная"
Реконструкция ПС
г. Братск, Иркутская обл.
</t>
  </si>
  <si>
    <t xml:space="preserve">"ПС 35/10 кВ "Черноруд"
г. Иркутск
</t>
  </si>
  <si>
    <t>ПС 110/10кВ Покровская
Строительство ПС
г.Иркутск, пос. Пивовариха</t>
  </si>
  <si>
    <t>Строительство ПС "под ключ", включая проектные работы, поставку оборудования, строительно-монтажные (монтаж (включая опорные металлоконструкции) основного электротехнического оборудования (110 кВ и 10 кВ); монтаж оборудования систем РЗА, ПА, АИИСКУЭ, АСУТП, систем ВЧ связи, ВОЛС, технологической связи, (включая прокладку силовых и контрольных кабелей); благоустройство, устройство фундаментов под оборудование, порталы и молниеприёмники, строительство здания ОПУ, гаража с административно-бытовыми помещениями, насосной пожаротушения, пожарного водопровода, устройство очистных сооружений с маслоприёмной ёмкостью и маслопроводами, а также строительство новой линии ВЛ 110 кВ в габаритах 220 кВ, протяженностью 1,5 км) и пусконаладочные работы</t>
  </si>
  <si>
    <t>Ст.экономист ПЭО ООО "БМУ ГЭМ" Л.А. Танина-Шахова т.(3953)413760</t>
  </si>
  <si>
    <t>Заказчик
 (наименование, адрес, тел., контактное лицо с указанием должности)</t>
  </si>
  <si>
    <t>Номер, дата договора</t>
  </si>
  <si>
    <t>Предмет договора</t>
  </si>
  <si>
    <t>022/02/11 от 19.03.2011</t>
  </si>
  <si>
    <t>234/02/11 от 26.12.11</t>
  </si>
  <si>
    <t>Реконструкция оборудования режима синхронного компенсатора (СК)  инв. №00043203</t>
  </si>
  <si>
    <t>065/02/12 от 16.05.2012</t>
  </si>
  <si>
    <t xml:space="preserve">Строительно-монтажные работы </t>
  </si>
  <si>
    <t>059/02/12 от 08.06.2012</t>
  </si>
  <si>
    <t>Реконструкция электрооборудования крана козлового №2 г/п 150т Зав.№ 521 (инв. № 00043011)</t>
  </si>
  <si>
    <t>Модернизация устройств центральной сигнализации машинного зала здания  Братской ГЭС.</t>
  </si>
  <si>
    <t>131/02/12 от 18.09.12</t>
  </si>
  <si>
    <t xml:space="preserve">Строительно-монтажные и пусконаладочные работы </t>
  </si>
  <si>
    <t>152/02/12 от 15.10.2012</t>
  </si>
  <si>
    <t>Реконструкция сети постоянного тока машинного зала здания ГЭС 3 -й пусковой комплекс (инв.№№00040122, 00040123).</t>
  </si>
  <si>
    <t>073/02/13 от 13.06.13</t>
  </si>
  <si>
    <t>Замена рабочего колеса 12Г - Вывозка рабочего колеса с МП-1 на центральный склад (территория здания закрытого теплового склада ОМТС) Братской ГЭС</t>
  </si>
  <si>
    <t>075/02/14 от 07.04.2014</t>
  </si>
  <si>
    <t>Замена рабочего колеса 10Г - Вывозка рабочего колеса с МП-1 на центральный склад Братской ГЭС</t>
  </si>
  <si>
    <t>Замена рабочего колеса 8Г - Вывозка рабочего колеса с МП-1 на центральный склад Братской ГЭС</t>
  </si>
  <si>
    <t>Замена рабочего колеса 7Г - Вывозка рабочего колеса с МП-1 на центральный склад Братской ГЭС</t>
  </si>
  <si>
    <t>013/02/15 от 12.02.2015</t>
  </si>
  <si>
    <t>087/02/15 от 29.07.2015</t>
  </si>
  <si>
    <t>Аварийные ремонтные работы</t>
  </si>
  <si>
    <t>102/02/15 от 27.10.2015</t>
  </si>
  <si>
    <t>183/02/14 от 22.09.2014</t>
  </si>
  <si>
    <t>Комплектация и поставка  технологического и инженерного оборудования, конструкций и материалов. Строительно-монтажные работы.</t>
  </si>
  <si>
    <t xml:space="preserve">
Братская ГЭС 
г. Братск,  Иркутской области </t>
  </si>
  <si>
    <t>Реконструкция оборудования режима синхронного компенсатора (СК)</t>
  </si>
  <si>
    <t xml:space="preserve">Модернизация устройств центральной сигнализации машинного зала здания  Братской ГЭС.
 </t>
  </si>
  <si>
    <t>Реконструкция электрооборудования крана козлового №2 г/п 150т</t>
  </si>
  <si>
    <t>Реконструкция сети постоянного тока машинного зала здания ГЭС - 3 этап</t>
  </si>
  <si>
    <t xml:space="preserve">Замена рабочего колеса 12Г </t>
  </si>
  <si>
    <t>Замена рабочего колеса 10Г</t>
  </si>
  <si>
    <t>Замена рабочего колеса 8Г</t>
  </si>
  <si>
    <t xml:space="preserve">Замена рабочего колеса 7Г 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</si>
  <si>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Черных О.Г.</t>
  </si>
  <si>
    <t>Реконструкция типового блока 500 кВ. Реконструкция блока 8Т (РЗА)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</si>
  <si>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 
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</si>
  <si>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Генподрядчик  ООО «ЕвроСибЭнерго-инжиниринг»
 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</si>
  <si>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Подрядчик: АО "Энергетические технологии"
664033, г. Иркутск, ул. Лермонтова, 130, оф. 110, Тел.: (3952) 423-523
Генеральный директор Черных О.Г.</t>
  </si>
  <si>
    <t>ОАО «Иркутская электросетевая компания»
664033, г. Иркутск, ул. Лермонтова 257,
Тел: (3952) 792-459
Генеральный директор Б.Н. Каратаев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 ООО "Инженерный центр "Иркутскэнерго",
г. Иркутск, б-р Рябикова 67, 
Тел. (3952) 790-711, Факс (3952) 790-742 
Директор Моисеев Т.В.</t>
  </si>
  <si>
    <t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Генеральный директор филиала – Очайкин Д.В.</t>
  </si>
  <si>
    <t>ПАО "РУСАЛ Братский Алюминиевый Завод" 665716, Иркутская область, г.Братск-16
Тел. (3953) 49-26-50
Управляющий директор – Евгений Юрьевич Зенкин</t>
  </si>
  <si>
    <t xml:space="preserve">Общестроительные работы, монтаж оборудования, электромонтажные и пусконаладочные работы.
- Монтаж трансформаторов ТРДЦН-100000/220кВ (производство ПАО «Запорожтрансформатор», Украина);
- монтаж регулировочных автотрансформаторов мощностью 148 МВА и преобразовательных трансформаторов мощностью 2х74 МВА (производство AREVA, Франция);
- Монтаж токоограничивающих реакторов РТСТТ 10-4000-0,2;
- Монтаж кабельных линий с изоляцией из сшитого полиэтилена марки АПвПу2г 1х630гж/240 мм/кВ. 220 кВ;
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
- Монтаж комплектного распределительного устройства с элегазовой изоляцией (КРУЭ-220 кВ) 
(производство AREVA, Франция);
- Монтаж временного электроснабжения кремниево-преобразовательной подстанции (КПП);
- Монтаж шинопроводов постоянного тока КПП-1 (из алюминиевой шины 640х70), шинных мостов 10кВ;
- Монтаж системы пожаротушения трансформаторов КПП-1 и ГПП-220кВ.
</t>
  </si>
  <si>
    <t>старый вариант</t>
  </si>
  <si>
    <t>Комплексный проект переоборудования систем автоматической пожарной сигнализации, пожаротушения производственных и административно-бытовых помещений Братской ГЭС</t>
  </si>
  <si>
    <t>20ПМ/12 от 31.07.2012</t>
  </si>
  <si>
    <t>63П-21/13 от 19.08.2013</t>
  </si>
  <si>
    <t>63П-28/14 от 03.03.2014</t>
  </si>
  <si>
    <t>63П-30/14 от 03.06.2014</t>
  </si>
  <si>
    <t xml:space="preserve">Прокладка и измерение волоконно-оптических кабелей, их сварка, подключение и измерение.
</t>
  </si>
  <si>
    <t>63П-31/14 от 31.07.2014</t>
  </si>
  <si>
    <t xml:space="preserve">Строительно-монтажные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</si>
  <si>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</si>
  <si>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работы следующих комплексов: Терминал АРЧМ, ГРАРМ с верхним уровнем, ЭГР 1Г, ЭГР 2Г
</t>
  </si>
  <si>
    <t>63П-33/14 от 27.10.2014</t>
  </si>
  <si>
    <t>63П-32/14 от 15.09.2014</t>
  </si>
  <si>
    <t xml:space="preserve">Строительно-монтажные работы следующих комплексов: Терминал АРЧМ, ГРАРМ с верхним уровнем, ЭГР 18Г
</t>
  </si>
  <si>
    <t>63П-36/15 от 06.02.2015</t>
  </si>
  <si>
    <t xml:space="preserve">Строительно-монтажные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</si>
  <si>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>63П-37/15 от 25.05.2015</t>
  </si>
  <si>
    <t>Строительно-монтажные работы следующих комплексов: ПТК ССМД 14Г с верхним уровнем</t>
  </si>
  <si>
    <t xml:space="preserve">Строительно-монтажные 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</si>
  <si>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>63П-39/15 от 27.07.2015</t>
  </si>
  <si>
    <t>07.2017</t>
  </si>
  <si>
    <t xml:space="preserve">09.2016
</t>
  </si>
  <si>
    <t xml:space="preserve">12.2016 
</t>
  </si>
  <si>
    <t xml:space="preserve">Строительно-монтажные  и пусконаладочные работы следующих комплексов:  Терминал АРЧМ, ГРАРМ с верхним уровнем, ССМД 1Г с верхним уровнем
</t>
  </si>
  <si>
    <t xml:space="preserve">Строительно-монтажные работы следующих комплексов:  Терминал АРЧМ, ГРАРМ с верхним уровнем, ССМД 1Г с верхним уровнем
</t>
  </si>
  <si>
    <t>63П-44/15 от 01.10.2015</t>
  </si>
  <si>
    <t xml:space="preserve">Строительно-монтажные  работы  </t>
  </si>
  <si>
    <t>98/2012</t>
  </si>
  <si>
    <t>03-11 от 07.07.2011</t>
  </si>
  <si>
    <t>Реконструкция системы оперативного постоянного тока Усть-Илимской ГЭС</t>
  </si>
  <si>
    <t>26КС/2011 от 24.05.2011</t>
  </si>
  <si>
    <t>27КС/2011 от 27.05.2011</t>
  </si>
  <si>
    <t xml:space="preserve">Строительно-монтажные  работы </t>
  </si>
  <si>
    <t>14КС/2012 от 14.05.2012</t>
  </si>
  <si>
    <t>7КС/2012 от 10.02.2012</t>
  </si>
  <si>
    <t>23-12 от 17.08.2017</t>
  </si>
  <si>
    <t>18КС/2012 от 04.07.2012</t>
  </si>
  <si>
    <t>21КС/2012 от 22.06.2012</t>
  </si>
  <si>
    <t>Капитальный ремонт токопроводов ТЭКН-20/23000 в ячейке трансформаторов ст.№7Т и ст.№8Т с полной заменой опорных изоляторов</t>
  </si>
  <si>
    <t xml:space="preserve">Капитальный ремонт токопроводов ТЭКН-20/23000 в ячейке трансформаторов ст.№7Т и ст.№8Т с полной заменой опорных  изоляторов </t>
  </si>
  <si>
    <t>Капитальный ремонт токопроводов ТЭКН-20/23000 в ячейке трансформаторов ст. № 3Т и ст.№6Т с полной заменой опорных изоляторов</t>
  </si>
  <si>
    <t xml:space="preserve">Капитальный ремонт токопроводов ТЭКН-20/23000 в ячейкетрансформаторов ст. № 3Т и ст.№6Т с полной заменой опорных  изоляторов </t>
  </si>
  <si>
    <t>09-13 от 11.03.2013</t>
  </si>
  <si>
    <t>Реконструкция нежилого отдельно стоящего здания ГЭС, состоящего из 20 отметок,  общей площадью 46582,6м2</t>
  </si>
  <si>
    <t>10КС/2013 от 20.06.2013</t>
  </si>
  <si>
    <t>8КС/2013 от 05.06.2013</t>
  </si>
  <si>
    <t>22КС/2013 от 03.09.2013</t>
  </si>
  <si>
    <t>3КС/2014 от 01.04.2014</t>
  </si>
  <si>
    <t>19-14 от 22.05.2014</t>
  </si>
  <si>
    <t>22-14 от 19.06.2014</t>
  </si>
  <si>
    <t>Реконструкция агрегатных собственных нужд 0,4 кВ блока 2Т</t>
  </si>
  <si>
    <t>10КС/2014 от 30.06.2014</t>
  </si>
  <si>
    <t xml:space="preserve">Строительно-монтажные  и пусконаладочные работы. </t>
  </si>
  <si>
    <t xml:space="preserve"> Реконструкция устройств РЗА ВЛ 500 кВ Усть-Илимская ГЭС - Братская ГЭС (ВЛ571) с реализацией ОАПВ</t>
  </si>
  <si>
    <t>11КС/2014 от 10.07.2014</t>
  </si>
  <si>
    <t xml:space="preserve"> ОРУ 220-500 кВ. Реконструкция устройств РЗА ВЛ 572 на У-ИГЭС с реализацией ОАПВ</t>
  </si>
  <si>
    <t>16КС/2014 от 29.09.2014</t>
  </si>
  <si>
    <t>5КС-2015 от 10.04.2015</t>
  </si>
  <si>
    <t xml:space="preserve">08.2016 
</t>
  </si>
  <si>
    <t>Э-2011/1807 от 25.08.2011</t>
  </si>
  <si>
    <t>Э-2012/27.07 от 27.07.2012</t>
  </si>
  <si>
    <t>Реконструкция типового блока 500кВ Усть-Илимской ГЭС. Реконструкция блока 7Т. Реконструкция агрегатных собственных нужд 0,4кВ блока 7Т Усть-Илимской ГЭС (АСН).</t>
  </si>
  <si>
    <t>08С-13А от 24.03.201</t>
  </si>
  <si>
    <t xml:space="preserve">07.2016
</t>
  </si>
  <si>
    <t>10С-15А от 24.04.2015</t>
  </si>
  <si>
    <t>10.1</t>
  </si>
  <si>
    <t>38 от 06.02.2013</t>
  </si>
  <si>
    <t>Гидрогенератор № 3 1180-160-72.
Замена системы тиристорного возбуждения. (инв. № 054362).
Гидрогенератор № 4 1180-160-72.
Замена системы тиристорного возбуждения. (инв. № 054363).</t>
  </si>
  <si>
    <t>59 от 24.12.2013</t>
  </si>
  <si>
    <t>Гидрогенератор № 6 1160-180-72.
Замена системы тиристорного возбуждения. 
Гидрогенератор № 7 1160-180-72.
Замена системы тиристорного возбуждения.</t>
  </si>
  <si>
    <t xml:space="preserve">Реконструкция схемы собственных нужд станции на напряжении 6 и 0,4 кВ. 4 пусковой комплекс.
</t>
  </si>
  <si>
    <t>ИРМ-11/11 от 15.04.2011</t>
  </si>
  <si>
    <t>Разработка проектно-сметной документации и выполнение комплекса работ по изменению схемы 6 кВ временного электроснабжения основных сооружений Богучанской ГЭС</t>
  </si>
  <si>
    <t>Разработка проектно-сметной документации и выполнение комплекса работ по  изменению схемы 6 кВ временного электроснабжения основных сооружений Богучанской ГЭС</t>
  </si>
  <si>
    <t>Монтаж и пусконаладочные  работы  силового электрооборудования Богучанской ГЭС</t>
  </si>
  <si>
    <t>BGC 082 от 25.08.2009</t>
  </si>
  <si>
    <t>BGC 166 от 21.11.2008</t>
  </si>
  <si>
    <t>Второй этап автоматизированной системы опроса контрольно-измерительной аппаратуры (АСО КИА) гидротехнических сооружений Богучанской ГЭС</t>
  </si>
  <si>
    <t>5230-13-ПЭГ от 24.07.2013</t>
  </si>
  <si>
    <t>Аварийно-восстановительный ремонт (АВР) блочного трансформатора Т2 типа ТЦ 400000/500 УХЛ1 на БоГЭС</t>
  </si>
  <si>
    <t>Определение источника повышенного газовыделения в блочном трансформаторе Т7 типа ТЦ-400000/220-УХЛ1</t>
  </si>
  <si>
    <t>6246-15-СПСР от 06.04.2015</t>
  </si>
  <si>
    <t>5</t>
  </si>
  <si>
    <r>
      <rPr>
        <b/>
        <sz val="9"/>
        <color theme="1"/>
        <rFont val="Times New Roman"/>
        <family val="1"/>
        <charset val="204"/>
      </rPr>
      <t xml:space="preserve"> ПС "Ангара" 
 п. Таежный,  Богучанском район, Красноярский край</t>
    </r>
    <r>
      <rPr>
        <sz val="9"/>
        <color theme="1"/>
        <rFont val="Times New Roman"/>
        <family val="1"/>
        <charset val="204"/>
      </rPr>
      <t xml:space="preserve">
Работы по монтажу шинных опор, монтажу ошиновки на ОРУ 220 кВ ПС "Ангара" для подключения ячеек №3-4</t>
    </r>
  </si>
  <si>
    <t xml:space="preserve">Монтаж  КРУЭ 500кВ </t>
  </si>
  <si>
    <t>Монтаж оборудования КРУЭ 500 кВ Богучанской ГЭС</t>
  </si>
  <si>
    <t>45 от 07.09.2011</t>
  </si>
  <si>
    <t xml:space="preserve">Работы по монтажу 11 комплектов оборудования  КРУЭ 500 кВ </t>
  </si>
  <si>
    <t xml:space="preserve">Монтаж кабельных линий XLPE 500 кВ и 220кВ </t>
  </si>
  <si>
    <t xml:space="preserve">Комплекс работ по монтажу кабельных линий XLPE 500 кВ и 220кВ </t>
  </si>
  <si>
    <t>КРУЭ 220кВ Богучанской ГЭС</t>
  </si>
  <si>
    <t>Работы по монтажу оборудования по титулу "КРУЭ 220кВ Богучанской ГЭС".</t>
  </si>
  <si>
    <t>44 от 29.08.2011</t>
  </si>
  <si>
    <t>Устройство временной системы отопления помещений КРУЭ 220 кВ Богучанской ГЭС</t>
  </si>
  <si>
    <t>47 от 28.09.2011</t>
  </si>
  <si>
    <t>ИЦ-03/5-11-917 от 10.03.12</t>
  </si>
  <si>
    <t>Монтаж кабельных линий XLPE 500 кВ сечением 1х2500 мм2 . Изготовление и монтаж металлоконструкций для прокладки кабеля 500кВ. 
Пусконаладочные работы.</t>
  </si>
  <si>
    <t>Строительно-монтажные  и пусконаладочные работы по системе мониторинга переходных режимов (СМПР) БоГЭС</t>
  </si>
  <si>
    <t>1 от 31.01.2012</t>
  </si>
  <si>
    <t>Работы по монтажу кабельных металлоконструкций и линий КРУЭ 220кВ</t>
  </si>
  <si>
    <t>15/10-1 от 18.10.2013</t>
  </si>
  <si>
    <t>130 от 03.02.2015</t>
  </si>
  <si>
    <t>01/2011-ГЭМ от 06.12.2010</t>
  </si>
  <si>
    <t>КС-02-11 от 15.02.2011</t>
  </si>
  <si>
    <t>02/2011-ГЭМ от 12.04.2011</t>
  </si>
  <si>
    <t>03/2011-ГЭМ от 12.04.2011</t>
  </si>
  <si>
    <t>КС-24-11 от 01.06.2011</t>
  </si>
  <si>
    <t>05-2012/ГЭМ от 06.03.2012</t>
  </si>
  <si>
    <t>04-2012/ГЭМ от 08.02.2012</t>
  </si>
  <si>
    <t>06-2012/ГЭМ от 17.05.2012</t>
  </si>
  <si>
    <t>07-2012/ГЭМ от 09.10.2012</t>
  </si>
  <si>
    <t>КС-71-12 от 22.10.2012</t>
  </si>
  <si>
    <t>08/2013-ГЭМ от 29.04.2013</t>
  </si>
  <si>
    <t>КС-25-13 от 28.06.2013</t>
  </si>
  <si>
    <t>010/2014-ГЭМ от 17.01.2014</t>
  </si>
  <si>
    <t>011/2014-ГЭМ от 22.04.2014</t>
  </si>
  <si>
    <t>КС-70-14 то 07.08.2014</t>
  </si>
  <si>
    <t>КС-69-14 то 07.08.2014</t>
  </si>
  <si>
    <t>КС-68-14 то 07.08.2014</t>
  </si>
  <si>
    <t>014/2015-ГЭМ от 19.10.2015</t>
  </si>
  <si>
    <t>015/2015*-ГЭМ от 30.11.2015</t>
  </si>
  <si>
    <t>107-13/14 от 18.06.2014</t>
  </si>
  <si>
    <t>258-023/15 от 19.01.2015</t>
  </si>
  <si>
    <t>121-016/15 от 19.01.2015</t>
  </si>
  <si>
    <t>258-025/15 от 27.01.2015</t>
  </si>
  <si>
    <t>121-064/15 от 16.10.2015</t>
  </si>
  <si>
    <t>28-4-КС от 19.05.2015</t>
  </si>
  <si>
    <t>84-Р-12 от 12.04.2012</t>
  </si>
  <si>
    <t>85-Р-12 от 12.04.2012</t>
  </si>
  <si>
    <t>1-13 НИТЭЦ от 16.05.2013</t>
  </si>
  <si>
    <t>1-14 НИ/ГЭМ от 28.04.2014</t>
  </si>
  <si>
    <t>050000/2013-а
0490/2013-э-в
0491/2013-э-в
0499/2013-э-в
0569/2015-э-в</t>
  </si>
  <si>
    <t>15 от 04.03.2011</t>
  </si>
  <si>
    <t xml:space="preserve"> Поставка оборудования, демонтажные, строительно-монтажные  и пусконаладочные работы </t>
  </si>
  <si>
    <t xml:space="preserve">ПС-35/6кВ "Новый Невон" и ВЛ-110кВ
пос. Невон, Усть Илимский район, Иркутская обл. </t>
  </si>
  <si>
    <t>Замена АТ-1  с 63 на 125 МВА. 
Сроительно-монтажные работы и такелаж оборудования.</t>
  </si>
  <si>
    <t>Реконструкция телемеханики на ПС СЭС
Строительно-монтажные, пусконаладочные работы</t>
  </si>
  <si>
    <t>Строительно-монтажные, пусконаладочные работы.
Ремонт оборудования.</t>
  </si>
  <si>
    <t>91 от 03.06.14
15р-2015об от 29.05.1</t>
  </si>
  <si>
    <t>Строительно-монтажные, пусконаладочные работы, такелаж оборудования..</t>
  </si>
  <si>
    <t>Строительно-монтажные, пусконаладочные работы,поставка оборудования..</t>
  </si>
  <si>
    <t>Строительство ПС "под ключ". 
Проектные работы, поставка оборудования, строительно-монтажные и пусконаладочные работы</t>
  </si>
  <si>
    <t>118-ВЭС-2013 от 05.09.13</t>
  </si>
  <si>
    <t>159-ВЭС-2013 от 30.08.13</t>
  </si>
  <si>
    <t xml:space="preserve">Транспортировка к месту ремонта, ремонт и такелаж трансформатора ТДТН 25000/110 </t>
  </si>
  <si>
    <t>119_ЗЭС от 20.08.13</t>
  </si>
  <si>
    <t>Поставка оборудования, строительно-монтажные и пусконаладочные работы</t>
  </si>
  <si>
    <t>Ремонтные и наладочные работы</t>
  </si>
  <si>
    <t>10-12 от 23.07.12</t>
  </si>
  <si>
    <t xml:space="preserve">ПС 500 кВ "Озерная" 
"Расширение ПС 500 кВ Озерная в части подключения ВЛ 500 кВ Богучанская ГЭС-Озерная" по титулу "ВЛ 500кВ Богучанская ГЭС - Озерная" </t>
  </si>
  <si>
    <t xml:space="preserve">Строительно-монтажные и пусконаладочные  работы по замене  масляных выключателей на элегазовые </t>
  </si>
  <si>
    <t xml:space="preserve">Электромонтажные   работы по системе АСКУЭ </t>
  </si>
  <si>
    <t>Электромонтажные работы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</si>
  <si>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t>Строительно-монтажные и пусконаладочные работы по реконструкции устройств релейной защиты и автоматики</t>
  </si>
  <si>
    <t>28_15-1ИЦ_15 от 15.10.2015</t>
  </si>
  <si>
    <t>Разработка рабочей документации;
Организация авторского надзора;
Поставка оборудования
Строительно-монтажные работы
Пусконаладочные работы.</t>
  </si>
  <si>
    <t>55 от 13.12.2013</t>
  </si>
  <si>
    <t>Строительно-монтажные и пусконаладочные работы</t>
  </si>
  <si>
    <t>ГП-324 от 09.12.2015</t>
  </si>
  <si>
    <t xml:space="preserve">Работы по разгрузке и консервации трансформаторов КПП-1, КПП-2, ГПП, монтаж резервуаров склада масла </t>
  </si>
  <si>
    <t xml:space="preserve">Комплекс монтажных и пусконаладочных работ </t>
  </si>
  <si>
    <t>Ремонтные работы, приемо-сдаточные испытания и ПНР оборудования КПП</t>
  </si>
  <si>
    <t>14-ARE от 01.10.14</t>
  </si>
  <si>
    <t>Рабрты по разгрузке преобразовательно-регулировочных трансформаторов Alstom</t>
  </si>
  <si>
    <t>Общестроительные работы, монтаж оборудования, электромонтажные и пусконаладочные работы.</t>
  </si>
  <si>
    <t xml:space="preserve">
</t>
  </si>
  <si>
    <t>- Монтаж трансформаторов ТРДЦН-100000/220кВ (производство ПАО «Запорожтрансформатор», Украина);</t>
  </si>
  <si>
    <t>- монтаж регулировочных автотрансформаторов мощностью 148 МВА и преобразовательных трансформаторов мощностью 2х74 МВА (производство AREVA, Франция);</t>
  </si>
  <si>
    <t>- Монтаж токоограничивающих реакторов РТСТТ 10-4000-0,2;</t>
  </si>
  <si>
    <t>- Монтаж кабельных линий с изоляцией из сшитого полиэтилена марки АПвПу2г 1х630гж/240 мм/кВ. 220 кВ;</t>
  </si>
  <si>
    <t xml:space="preserve">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</t>
  </si>
  <si>
    <t xml:space="preserve">- Монтаж комплектного распределительного устройства с элегазовой изоляцией (КРУЭ-220 кВ) </t>
  </si>
  <si>
    <t>(производство AREVA, Франция);</t>
  </si>
  <si>
    <t>- Монтаж временного электроснабжения кремниево-преобразовательной подстанции (КПП);</t>
  </si>
  <si>
    <t>- Монтаж шинопроводов постоянного тока КПП-1 (из алюминиевой шины 640х70), шинных мостов 10кВ;</t>
  </si>
  <si>
    <t>- Монтаж системы пожаротушения трансформаторов КПП-1 и ГПП-220кВ.</t>
  </si>
  <si>
    <t>Электромонтажные, пусконаладочные работы и монтаж технологического оборудования.</t>
  </si>
  <si>
    <t>Работы по обеспечению длительного хранения трансформаторов КПП-2</t>
  </si>
  <si>
    <t>Монтаж силового электрооборудования, устройство электроосвещения, общестроительные и пусконаладочные работы</t>
  </si>
  <si>
    <t xml:space="preserve">Работы по монтажу технологического оборудования Анодно-монтажного отделения </t>
  </si>
  <si>
    <t>Строительно-монтажные работы.</t>
  </si>
  <si>
    <t>Строительно-монтажные и пусконаладочные  работы по реконструкции головного трансформатора Т-2</t>
  </si>
  <si>
    <t xml:space="preserve">СМР по замене первой камеры электрофильтра СРК-1 </t>
  </si>
  <si>
    <t xml:space="preserve">Электромонтажные работы по установке батарей статических конденсаторов </t>
  </si>
  <si>
    <t xml:space="preserve">Ремонтно-восстановительные работы </t>
  </si>
  <si>
    <t>Монтаж электрооборудования.
Электромонтажные работы по электроосвещению</t>
  </si>
  <si>
    <t>112-07 от 21.07.2011</t>
  </si>
  <si>
    <t xml:space="preserve">Электромонтажные работы 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</si>
  <si>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уровнем).
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</si>
  <si>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3Г, ССМД 3Г с верхним уровнем, ЭГР 4Г, ССМД 4Г с верхним уровнем).
</t>
  </si>
  <si>
    <t>Комплекс работ по замене релейных защит генераторов 13Г, 14Г и трансформатора 7Т на микропроцессорные защиты по объекту филиала ОАО "Иркутскэнерго" Усть-Илимская ГЭС "Реконструкция типового блока 500 кВ. Реконструкция блока 8Т (РЗА)"</t>
  </si>
  <si>
    <t>Строительно-монтажные  и пусконаладочные работы по системе мониторинга переходных режимов  БоГЭС</t>
  </si>
  <si>
    <t xml:space="preserve">Комплекс работ по замене релейных защит генераторов 13Г, 14Г и трансформатора 7Т на микропроцессорные защиты по объекту филиала ОАО "Иркутскэнерго" Усть-Илимская ГЭС "Реконструкция типового блока 500 кВ. Реконструкция блока 7Т". </t>
  </si>
  <si>
    <t>11</t>
  </si>
  <si>
    <t>21 от 11.04.2011</t>
  </si>
  <si>
    <t>Строительно-монтажные  и пусконаладочные  работы по объекту: "Реконструкция ПС-110/35/10 кВ "Киренская"</t>
  </si>
  <si>
    <t>41 от 14.07.2011</t>
  </si>
  <si>
    <t>18 от 26.07.13</t>
  </si>
  <si>
    <t>3 от 28.03.2012</t>
  </si>
  <si>
    <t>20 от 11.04.2011</t>
  </si>
  <si>
    <t>16 от 07.06.2013</t>
  </si>
  <si>
    <t>4 от 24.05.2012</t>
  </si>
  <si>
    <t>17 от 31.05.2013</t>
  </si>
  <si>
    <t>Строительно-монтажные и пусконаладочные работы по объекту: "Реконструкция телемеханики на ПС СЭС".</t>
  </si>
  <si>
    <t>Строительно-монтажные и пусконаладочные работы по объекту: "Замена АБ И ВАЗП на ПС СЭС" (ПС "Коршуниха")</t>
  </si>
  <si>
    <t xml:space="preserve">91 от 03.06.2014
</t>
  </si>
  <si>
    <t>81 от 18.02.2014</t>
  </si>
  <si>
    <t xml:space="preserve">Поставка оборудования, строительно-монтажные и  пусконаладочные работы по объекту: "Реконструкция ПС 110/10 кВ "Северная" 
</t>
  </si>
  <si>
    <t>Строительно-монтажные и пусконаладочные работы по объекту: "Реконструкция ПС 220/110/35/10 кВ "Байкальская"  (I этап)</t>
  </si>
  <si>
    <t>Строительно-монтажные и пусконаладочные работы по противоаварийной автоматике по объекту: "Реконструкция ПС 220/110/35/10 кВ "Байкальская" с переводом ПС-35 кВ Лисиха в РП - 10 кВ" I этап</t>
  </si>
  <si>
    <t>26</t>
  </si>
  <si>
    <t>Строительно-монтажные и наладочные работы по объекту: "Замена аккумуляторных батарей на ПС Бытовая, ПС Кировская.</t>
  </si>
  <si>
    <t>34</t>
  </si>
  <si>
    <t>Строительно-монтажные и пусконаладочные работы по объекту "Замена АБ и ВАЗП на ПС СЭС" (ПС "Опорная")</t>
  </si>
  <si>
    <t>Выполнение комплекса работ по титулу: "Подстанция 220 кВ Кодинская ГПП, реконструкция линейных ячеек 10 кВ2 (для осуществления технологического присоединения энергопринимающих устройств Краевого государственного казенного учреждения "Дирекция по комплексному развитию Нижнего Приангарья")</t>
  </si>
  <si>
    <t>Выполнение комплекса работ по титулу: "Подстанция 220 кВ Кодинская ГПП, расширение ЗРУ 10 кВ на одну линейную ячейку (№25)" (для осуществления технологического присоединения энергопринимающих устройств ГКУ "ДПВ БоГЭС")</t>
  </si>
  <si>
    <t xml:space="preserve">Строительно-монтажные и пусконаладочные работы по объекту "Реконструкция ПС 110/10 кВ "Северная" 
</t>
  </si>
  <si>
    <t>Выполнение приемо-сдаточных испытаний и пусконаладочных работ оборудования кремниево-преобразовательной подстанции (КПП-1) первой серии электролиза Богучанского алюминиевого завода</t>
  </si>
  <si>
    <t>58</t>
  </si>
  <si>
    <t>558С001С512 от 10.06.2015</t>
  </si>
  <si>
    <t>558С001С515 от 01.07.2015</t>
  </si>
  <si>
    <t>Монтажные и пусконаладочные работы электрической системы 6 кВ главного распределительного устройства и турбогенераторов ТЭС-3 по объекту ""Реконструкция турбинного отделения КТЦ ТЭС-3 с установкой двух противодавленческих турбин с давлением острого пара 90 бар"</t>
  </si>
  <si>
    <t>Работы для реализации инвестиционного проекта  "Перенос РОУ 13/4 (1,2) с аварийного здания в ТО ТЭС-2" в части электромонтажных и пусконаладочных работ "Установка новой  трансформаторной подстанции мазутно-насосной станции" КТЦ ТЭС</t>
  </si>
  <si>
    <t>60</t>
  </si>
  <si>
    <t>61</t>
  </si>
  <si>
    <t>62</t>
  </si>
  <si>
    <t>64</t>
  </si>
  <si>
    <t>65</t>
  </si>
  <si>
    <t xml:space="preserve">001/02/16 от 11.02.2016 </t>
  </si>
  <si>
    <t xml:space="preserve">6КС-2017 от 14.04.2017 </t>
  </si>
  <si>
    <t>10.2017</t>
  </si>
  <si>
    <t>02.2018</t>
  </si>
  <si>
    <t>06.2018</t>
  </si>
  <si>
    <t>12.2018</t>
  </si>
  <si>
    <t xml:space="preserve">164 от 28.12.2015 </t>
  </si>
  <si>
    <t xml:space="preserve">163 от 28.12.2015 </t>
  </si>
  <si>
    <t>07.2016</t>
  </si>
  <si>
    <t>12.2016</t>
  </si>
  <si>
    <t>11.2017</t>
  </si>
  <si>
    <t>09.2017</t>
  </si>
  <si>
    <t xml:space="preserve">6-106/16 от 23.06.2016 </t>
  </si>
  <si>
    <t>08.2017</t>
  </si>
  <si>
    <t>06.2017</t>
  </si>
  <si>
    <t>08.2018</t>
  </si>
  <si>
    <t>10.2018</t>
  </si>
  <si>
    <t>19-2018-ОКС-ц от 27.01.2016</t>
  </si>
  <si>
    <t>01.2016</t>
  </si>
  <si>
    <t xml:space="preserve">Строительно-монтажные и пусконаладочные работы по объекту: «Реконструкция ВЛ 220 кВ 1 цепь Седановский переключательный пункт - Богучанская ГЭС с переводом ее на напряжение 35 кВ; ПС 220/35 Джижива и СПП 220/6" с поставкой оборудования.
</t>
  </si>
  <si>
    <t>01-СЭС-2018-ОКС-ц от 16.02.2018</t>
  </si>
  <si>
    <t>Строительно-монтажные и пусконаладочные работы по объекту "Замена АБ и ВАЗП на ПС СЭС" (ПС "Западная")</t>
  </si>
  <si>
    <t xml:space="preserve">27-СЭС-2016-ОКС-м от 26.07.2016 </t>
  </si>
  <si>
    <t>03.2018</t>
  </si>
  <si>
    <t xml:space="preserve">26-СЭС-2016-ОКС-м от 26.07.2016 </t>
  </si>
  <si>
    <t>04.2018</t>
  </si>
  <si>
    <t>07.2018</t>
  </si>
  <si>
    <t xml:space="preserve">28-СЭС-2018-ОКС-м от 03.07.2018 </t>
  </si>
  <si>
    <t>55 -СЭС-2018-ОКС-м от 21.09.2018</t>
  </si>
  <si>
    <t>09.2018</t>
  </si>
  <si>
    <t>54-СЭС-2018-ОКС-м от  21.09.2018</t>
  </si>
  <si>
    <t>26-204.031/2017 от 18.07.2017</t>
  </si>
  <si>
    <t xml:space="preserve">36-204.031/2018 от 25.06.2018 </t>
  </si>
  <si>
    <t xml:space="preserve">65-204.031/2018 от 01.07.2018 </t>
  </si>
  <si>
    <t xml:space="preserve">66-204.031/2018 от 01.07.2018 </t>
  </si>
  <si>
    <t>2-ЮЭС-2016(Бытовая) от 06.07.2016</t>
  </si>
  <si>
    <t xml:space="preserve">1-ЮЭС-2016 (Байкальская) от 06.07.2016 </t>
  </si>
  <si>
    <t>2-ЮЭС-2017(ЗВВ) от 13.07.2017</t>
  </si>
  <si>
    <t>131/ЗЭС от 14.08.2017</t>
  </si>
  <si>
    <t xml:space="preserve">95/ЗЭС от 26.04.2018 </t>
  </si>
  <si>
    <t>Техническое обслуживание устройств РЗА и ПА ВЛ-579 на ПС 500 кВ Озерная</t>
  </si>
  <si>
    <t xml:space="preserve">88/ЗЭС от 16.04.2018 </t>
  </si>
  <si>
    <t>11.2018</t>
  </si>
  <si>
    <t xml:space="preserve">220/ЗЭС-18 от 19.10.2018 </t>
  </si>
  <si>
    <t>03.2019</t>
  </si>
  <si>
    <t>06.2019</t>
  </si>
  <si>
    <t>017-2337-15 от 18.12.15</t>
  </si>
  <si>
    <t>017-189-16 от 15.01.2016</t>
  </si>
  <si>
    <t>Электромонтажные и пусконаладочные работы для реализации инвестиционного проекта "Монтаж трубопровода подачи серной кислоты в варочно-отбельный цех производства лиственной целлюлозы" ВОЦ ПЛЦ</t>
  </si>
  <si>
    <t>017-1052-16 от 13.05.16</t>
  </si>
  <si>
    <t>017-1179-16 от 14.07.16</t>
  </si>
  <si>
    <t>017-1555-16 от 07.09.16</t>
  </si>
  <si>
    <t>010-1804-16 от 08.10.16</t>
  </si>
  <si>
    <t>010-1943 от 01.09.2016</t>
  </si>
  <si>
    <t>Электромонтажные и пусконаладочные работы  для реализации инвестиционного проекта: "Модернизация электрофильтров СРК-11" ПРиЭ</t>
  </si>
  <si>
    <t xml:space="preserve">Электромонтажные и пусконаладочные работы по прокладке кабеля от РП-11 до ТП-110 в рамках инвестиционного проекта "Замена кабельных трасс"
</t>
  </si>
  <si>
    <t>Электромонтажные и пусконаладочные  работы  по выносу кабельной трассы, проложенной в траншее по территории  "Водозабора" от ГПП-1 до РП-16, без изменения существующих нагрузок, для реализации инвестиционного проекта "Замена высоковольтного кабеля"</t>
  </si>
  <si>
    <t xml:space="preserve">010-2315-16 от 19.12.16 </t>
  </si>
  <si>
    <t>017-266-17 от 01.03.17</t>
  </si>
  <si>
    <t>017-680-17 от 20.04.17</t>
  </si>
  <si>
    <t>010-676-17 от 20.04.17</t>
  </si>
  <si>
    <t>010-985-17 от 23.06.2017</t>
  </si>
  <si>
    <t>010-1405-17 от 24.08.2017 
доп.согл1</t>
  </si>
  <si>
    <t xml:space="preserve">Электромонтажные и пусконаладочные работы для реализации инвестиционного проекта "Реконструкция насосной станции промышленных стоков № 4 (НСП-4)" </t>
  </si>
  <si>
    <t>04.2017</t>
  </si>
  <si>
    <t xml:space="preserve">Электромонтажные и пусконаладочные  работы для реализации инвестиционного проекта "Подщелачивание скрубберной воды ИРП №4,5,6" </t>
  </si>
  <si>
    <t>Строительно-монтажные и пусконаладочные работы  для реализации  инвестиционного проекта "Закупка трансформатора для цеха отбеливающих химикатов" на ХП, в т.ч.:
-перебазировка спецтехники для выполнения работ по перевозке трансформатора типаТДЦПУД-16000/10У1;
-перевозка трансформатора с базы оборудования АО "Группа Илим" на площадку цеха №5 ХП;
-монтажные и пусконаладочные работы трансформатора типаТДЦПУД-16000/10У1.</t>
  </si>
  <si>
    <t xml:space="preserve">017-807-17 от 19.05.2017 </t>
  </si>
  <si>
    <t xml:space="preserve">Работы на объектах Хлорного производства ЦЭС:
-текущий ремонт, пусконаладочные работы, измерения и испытания после текущего ремонта трансформатора типа ТДНП-25000/10 выпрямительного агрегата ВАКВ 25000/450 (инв.№ 36201040017034);
- текущий ремонт, пусконаладочные работы, измерения и испытания после текущего ремонта трансформатора типа ТДНП-3200/10 выпрямительного агрегата ВАКВ 32000/600 (инв.№ 36201040017079);
- пусконаладочные работы и измерения выпрямительного агрегата ВАКВ 32000/600 (инв.№ 36201040017079). 
</t>
  </si>
  <si>
    <t xml:space="preserve">010-130-18 от 19.01.2018 </t>
  </si>
  <si>
    <t xml:space="preserve">010-232-18 от 01.03.2018 </t>
  </si>
  <si>
    <t xml:space="preserve">010-539-18 от 12.04.2018 </t>
  </si>
  <si>
    <t xml:space="preserve">010-878-18 от 29.05.2018 </t>
  </si>
  <si>
    <t xml:space="preserve">010-1072-18 от 28.06.2018 </t>
  </si>
  <si>
    <t xml:space="preserve">010-1066-18 от 26.06.2018 </t>
  </si>
  <si>
    <t>010-1224-18 от 23.07.2018</t>
  </si>
  <si>
    <t xml:space="preserve">Профилактические испытания на объектах Хлорного производства </t>
  </si>
  <si>
    <t>01.2018</t>
  </si>
  <si>
    <t>05.2018</t>
  </si>
  <si>
    <t xml:space="preserve">010-1075-18 от 02.07.2018 </t>
  </si>
  <si>
    <t xml:space="preserve">Текущий ремонт электрооборудования в период летнего останова оборудования  филиала ОАО «Группа Илим» в г. Усть-Илимске </t>
  </si>
  <si>
    <t>11500/355 от 01.07.16</t>
  </si>
  <si>
    <t xml:space="preserve">SP0336 от 24.05.2018 </t>
  </si>
  <si>
    <t xml:space="preserve">SP0467 от 24.09.2018 </t>
  </si>
  <si>
    <t>07.2019</t>
  </si>
  <si>
    <t>04.2019</t>
  </si>
  <si>
    <t xml:space="preserve">SP0211/СУБ-1 от 13.02.2018  </t>
  </si>
  <si>
    <t>010-1446-18 от 27.08.2018</t>
  </si>
  <si>
    <t>7301-16-ПЭГ от 11.03.16</t>
  </si>
  <si>
    <t>BGC 402  от 20.05.16</t>
  </si>
  <si>
    <t>ЭМР и ПНР по интеграции распределительных подстанций РП-1, РП-2 в АСУТП БоГЭС</t>
  </si>
  <si>
    <t xml:space="preserve">BGC410 от 29.06.2016 </t>
  </si>
  <si>
    <t>8080-ПЭГ от 17.01.2017</t>
  </si>
  <si>
    <t>Поставка, монтаж и ПНР устройства точной ручной синхронизации на пульт-столе ЦПУ выключателей присоединений КРУЭ 220 кВ и КРУЭ 500 кВ БоГЭС</t>
  </si>
  <si>
    <t>558С001С480 от 07.05.15</t>
  </si>
  <si>
    <t>508С001С622 от 16.08.2016</t>
  </si>
  <si>
    <t xml:space="preserve">508С001С691 от 05.06.2017
</t>
  </si>
  <si>
    <t xml:space="preserve">508С001С733 от 20.09.2017. </t>
  </si>
  <si>
    <t>9110С695 от 19.07.2017</t>
  </si>
  <si>
    <t xml:space="preserve">4310С026 от 20.07.2016 
</t>
  </si>
  <si>
    <t>Комплекс работ по реконструкции ячеек ОРУ 110 кВ с РЗА, необходимых для строительства объекта «ВЛ-110 кВ ИТЭЦ-10 блок 4-ГПП-1 (ШП-13) и ВЛ-110 кВ ИТЭЦ-10-Иркутская (ШП-14) от ГПП-1 до ГПП-2; ВЛ-110 кВ ИТЭЦ-10 блок-3 ГПП-1 (ШП-15) и ВЛ-110 кВ ИТЭЦ-9-Иркутская с отпайками (ШП-16)»</t>
  </si>
  <si>
    <t xml:space="preserve">Реконструкция устройств РЗА ВЛ 500кВ № 565 на УПК-500 Тыреть с заменой выключателей на ОРУ 500 кВ УПК-500 "Тыреть" в составе объектов основных средств: 
- УПК-500 Тыреть
- ПС Иркутская </t>
  </si>
  <si>
    <t xml:space="preserve">49/16 от 28.07.2016 </t>
  </si>
  <si>
    <t xml:space="preserve"> 60/16 от 03.10.2016 </t>
  </si>
  <si>
    <t xml:space="preserve">75/16 от 10.11.2016 </t>
  </si>
  <si>
    <t xml:space="preserve"> 73/16 от 03.11.2016 </t>
  </si>
  <si>
    <t xml:space="preserve">74/16 от 03.11.2016 </t>
  </si>
  <si>
    <t xml:space="preserve">ПС 35/10 кВ Мегет 
п. Мегет, Ангарский район, Иркутская область 
</t>
  </si>
  <si>
    <t xml:space="preserve">ОК-33/16 от 30.05.2016 </t>
  </si>
  <si>
    <t>14-ARE/GEM 065 от 01.10.14</t>
  </si>
  <si>
    <t xml:space="preserve">083/02/15-ИЦ/16 от 03.02.2016 </t>
  </si>
  <si>
    <t xml:space="preserve">Электромонтажные и пусконаладочные работы по увеличению электрической мощности сцены МАУК «ТКЦ «Братск-АРТ» </t>
  </si>
  <si>
    <t>66</t>
  </si>
  <si>
    <t xml:space="preserve">006 
от 18.01.2018 </t>
  </si>
  <si>
    <t>Электромонтажные и пусконаладочные работы электроснабжения LED-экрана МАУК "ТКЦ "Братск-АРТ"</t>
  </si>
  <si>
    <t xml:space="preserve">Пусконаладочные работы по объекту «2КТПНУ-630 базы Богучанского водохранилища» 
</t>
  </si>
  <si>
    <t xml:space="preserve">358Д-40П-3012 от 01.09.2016 </t>
  </si>
  <si>
    <t>100</t>
  </si>
  <si>
    <t>Э-143066/ГЭМ от 19.02.2016</t>
  </si>
  <si>
    <t>12.2019</t>
  </si>
  <si>
    <t>Техническое перевооружение тяговой подстанции Кежемская с заменой тягового трансформатора с 20 МВА на 40 МВА - 2 шт. Установка УПК, замена защит 110 кВ.</t>
  </si>
  <si>
    <t xml:space="preserve">Техническое перевооружение тяговой подстанции Видим. Установка УПК. </t>
  </si>
  <si>
    <t>Техническое перевооружение ТП Коршуниха с заменой тягового трансформатора с 20 МВА на 40 МВА - 2 шт.  Установка УПК.</t>
  </si>
  <si>
    <t>Техническое перевооружение АТП 909 км</t>
  </si>
  <si>
    <t xml:space="preserve">Техническое перевооружение ОРУ 110 кВ ТП Чукша с заменой тягового трансформатора с 20 МВА на 40 МВА - 2 шт. Установка УПК. </t>
  </si>
  <si>
    <t>Техническое перевооружение ОРУ - 220 кВ тяговой подстанции Якурим с заменой выключателей и защит 220 кВ</t>
  </si>
  <si>
    <t>Техническое перевооружение ТП Семигорск с заменой тягового трансформатора с 25 МВА на 40 МВА - 2 шт. Замена защиты 110 кВ</t>
  </si>
  <si>
    <t>Техническое перевооружение ТП Зяба с заменой тягового трансформатора с 31,5 МВА на 40 МВА -2 шт., замена защит 110 кВ</t>
  </si>
  <si>
    <t xml:space="preserve">Комплекс работ по реконструкции ПС 110/35 «Викторовское» с установкой трансформатора 110/35 кВ, S=16МВ*А и заменой трансформатора 110/35/6 кВ ТДТН-10000 кВ*А на трансформатор 110/35 кВ, S=16 МВ*А </t>
  </si>
  <si>
    <t xml:space="preserve">33/17 от 28.03.2017 </t>
  </si>
  <si>
    <t>Полный комплекс электромонтажных и пусконаладочных работ по ПС 110 кВ Промплощадка в составе: Объект внешнего электроснабжения Быстринского ГОКа: ПС 110/10/6 кВ «Промплощадка», ПС 35/10 кВ «Поселок», ВЛ 110 кВ и ВЛ 35 кВ» в составе объекта капитального строительства «Быстринский горно-обогатительный комбинат (ГОК)» по проекту «Объекты внешнего электроснабжения Быстринского горно-обогатительного комбината»</t>
  </si>
  <si>
    <t xml:space="preserve">16-2017 от 20.06.2017 </t>
  </si>
  <si>
    <t>Этапы электромонтажных и пусконаладочных работ по объекту: ПС 110 кВ «Промплощадка» в рамках реализации проекта «Объекты внешнего электроснабжения Быстринского ГОКа: ПС 110/10/6 кВ «Промплощадка», ПС 35/10 кВ «Поселок», ВЛ 110 кВ и ВЛ 35 кВ»,</t>
  </si>
  <si>
    <t>684Д-32П-3012 от 03.07.2017</t>
  </si>
  <si>
    <t xml:space="preserve">1168-17 от 05.12.2017 </t>
  </si>
  <si>
    <t xml:space="preserve">79-2017ОНСО от 12.07.2017 </t>
  </si>
  <si>
    <t>Шеф-монтажные, шеф-наладочные и пусконаладочные работы оборудования ЗРУ 110 кВ на объекте Быстринский горно-обогатительный комбинат</t>
  </si>
  <si>
    <t>Шеф-монтажные, шеф-наладочные и пусконаладочные работы оборудования ЗРУ 110 кВ</t>
  </si>
  <si>
    <t>Демонтаж, монтаж и пусконаладочные работы терминала Siprotec 7SJ456,  (Замена терминала на ПС 500кВ "Озёрная").</t>
  </si>
  <si>
    <t xml:space="preserve">99-16 ДС от 29.12.2016 </t>
  </si>
  <si>
    <t>7/2017 от 12.04.2017</t>
  </si>
  <si>
    <t>Работы по проведению электрических измерений и испытаний электрооборудования</t>
  </si>
  <si>
    <t xml:space="preserve">Ч-РХИ-П/20/09/17 </t>
  </si>
  <si>
    <t xml:space="preserve">Работы по проведению электрических измерений и испытаний электрооборудования на объекте «Обогатительная фабрика «Быстринский ГОК» </t>
  </si>
  <si>
    <t xml:space="preserve">Выполнение строительно-монтажных и пусконаладочных работ по устройству заземления прожекторных мачт ПМ-21, подготовка комплекта исполнительной документации по результатам выполненных работ. </t>
  </si>
  <si>
    <t xml:space="preserve">СН-326/2018 от 17.05.2018 </t>
  </si>
  <si>
    <t xml:space="preserve">01-11/2017 от 03.11.2017 </t>
  </si>
  <si>
    <t>Комплекс пусконаладочных работ по силовому оборудованию, РЗА и ПА на ПП 500 кВ Тобол. 
Комплекс пусконаладочных работ по системк пожаротушения сооружений и реакторов на ПП 500 кВ Тобол. 
Электромонтажные работы по монтажу вторичного оборудования в здании ОПУ ПП 500 кВ Тобол, а также на смежных подстанциях: ПС 500 кВ Иртыш. 
Комплекс электромонтажных работ по основному и вторичному оборудованию на смежных подстанциях: ПС 500 кВ Демьянская, ПС 500 кВ Нелым, ПС 500 кВ Тюмень. 
Монтаж вторичной коммутации в части РЗА и ПА на ОРУ-2 ПП 500 кВ Тобол. 
Комплекс электромонтажных работ по противоаварийной автоматике и РЗА на  ПП 500 кВ Тобол, ПС 500 кВ Магистральная.</t>
  </si>
  <si>
    <t>21-09/17/Тб от 21.09.2017</t>
  </si>
  <si>
    <t xml:space="preserve"> 41/17-СВ от 21.06.2017</t>
  </si>
  <si>
    <t xml:space="preserve">Строительно-монтажные и пуско-наладочные работы по объекту филиала ПАО «Кубаньэнерго» Краснодарские электрические сети: «Реконструкция ПС 110/6-10 кВ "Северо-Восточная". Установка Т-3 мощностью 40 МВА» в объеме реконструкции 7 существующих ячеек 10 кВ. </t>
  </si>
  <si>
    <t xml:space="preserve">03/18-СВ от 01.03.2018 </t>
  </si>
  <si>
    <t>01/01-ЮЗ от 05.02.2018</t>
  </si>
  <si>
    <t xml:space="preserve">Строительно-монтажные и пуско-наладочные работы по объекту филиала ПАО «Кубаньэнерго» Краснодарские электрические сети: «Реконструкция ПС 110/10 кВ «Юго-Западная». Установка Т-3 мощностью 40 МВА» в объеме реконструкции 9 существующих ячеек 10 кВ. </t>
  </si>
  <si>
    <t>2/01-2018 от 16.01.2018</t>
  </si>
  <si>
    <t xml:space="preserve">ВЭСТ-12/07-2018 от 02.07.2018 </t>
  </si>
  <si>
    <t xml:space="preserve">14.2400.10920.17 от 01.12.2017 </t>
  </si>
  <si>
    <t>844-017-П от 01.12.2017</t>
  </si>
  <si>
    <t xml:space="preserve">ЮР 5043 от 28.12.2017 </t>
  </si>
  <si>
    <t>4 от 11.07.2018</t>
  </si>
  <si>
    <t>9 от 03.09.2018</t>
  </si>
  <si>
    <t>Комплекс пусконаладочных работ на объекте ПАО «НЛМК» «Реконструкция УТЭЦ с установкой турбовоздуходувки»</t>
  </si>
  <si>
    <t>02/03/СП от 01.03.2018</t>
  </si>
  <si>
    <t>Эксплуатационные испытания и замеры сопротивлений в электроустановках</t>
  </si>
  <si>
    <t xml:space="preserve">3/2018 от 19.02.2018 </t>
  </si>
  <si>
    <t>Выполнение пусконаладочных работ на объекте:  "Реконструкция переменного и постоянного оперативного токов для нужд филиала ПАО "РусГидро" - "Воткинская ГЭС"</t>
  </si>
  <si>
    <t xml:space="preserve">06/06/СП от 29.06.2018 </t>
  </si>
  <si>
    <t xml:space="preserve">Пусконаладочные работы по испытанию высоковольтных ячеек 6 кВ по титулу «Строительство резервного источника питания «ВЛ-35 кВ, ПС 35/6 кВ «ЗИФ» - объектов электросетевой инфраструктуры АО «ТЗРК» на месторождении «Дражное» в Оймяконском районе Республики Саха (Якутия)» 
</t>
  </si>
  <si>
    <t xml:space="preserve">5 от 19.04.2018 </t>
  </si>
  <si>
    <t xml:space="preserve">1152/1-018-Р от 01.09.2018 </t>
  </si>
  <si>
    <t xml:space="preserve">83-18 от 11.05.2018 </t>
  </si>
  <si>
    <t xml:space="preserve">1/18 от 10.07.2018 </t>
  </si>
  <si>
    <t>Работы по испытаниям и измерениям оборудования 35 кВ (выключателей - 2 шт., разъединителей, ошиновки и ОПН - 6 шт.) на объекте: ПС 220 кВ «Петровск-Забайкальская»</t>
  </si>
  <si>
    <t>Работы по испытаниям и измерениям оборудования 35 кВ</t>
  </si>
  <si>
    <t>Пусконаладочные работы трансформаторов силовых масляных типа ТДТН-40000/110 ВМ УХЛ1 в количестве 2 (двух) единиц на объекте: «ПС 110 кВ Шестой Рудник»</t>
  </si>
  <si>
    <t xml:space="preserve">30/ЭС-18 от 15.10.2018 </t>
  </si>
  <si>
    <t>Выполнение строительно-монтажных и пусконаладочных работ по ТП Забайкальск на объекте: Комплексная реконструкция участка Карымская-Забайкальск Забайкальской ж.д. Электрификация участка Борзя-Забайкальск</t>
  </si>
  <si>
    <t>Электромонтажные и пусконаладочные  работы для реализации инвестиционного проекта: "Монтаж частотных преобразователей на электродвигателях станции перекачки уплотненного осадка"  ЦОСП ПВиИК</t>
  </si>
  <si>
    <t>Пусконаладочные работы по реконструкции сети постоянного тока машинного зала здания ГЭС - 3 этап</t>
  </si>
  <si>
    <t xml:space="preserve">Пусконаладочные работы следующих комплексов: терминал АРЧМ, ГРАРМ с верхним уровнем, ЭГР 1Г, ЭГР 2Г
</t>
  </si>
  <si>
    <t xml:space="preserve">Пусконаладочные работы следующих комплексов: терминал АРЧМ, ГРАРМ с верхним уровнем, ЭГР 18Г
</t>
  </si>
  <si>
    <t>Пусконаладочные работы следующих комплексов: ПТК ССМД 14Г с верхним уровнем</t>
  </si>
  <si>
    <t xml:space="preserve">Пусконаладочные работы следующих комплексов:  терминал АРЧМ, ГРАРМ с верхним уровнем, ССМД 1Г с верхним уровнем
</t>
  </si>
  <si>
    <t>Наименование объекта, регион строительства</t>
  </si>
  <si>
    <t>Пусконаладочные работы по замене оборудования и кабельных связей щита постоянного тока (ЩПТ) здания ГЭС</t>
  </si>
  <si>
    <t>Пусконаладочные работы по реконструкции, подготовке к работе и пуску дизель-генераторных установок</t>
  </si>
  <si>
    <t>Пусконаладочные работы  по замене релейных защит генераторов 13Г, 14Г и трансформатора 7Т на микропроцессорные защиты</t>
  </si>
  <si>
    <t>Пусконаладочные работы по замене релейных защит генераторов 13Г, 14Г и трансформатора 7Т на микропроцессорные защиты</t>
  </si>
  <si>
    <t xml:space="preserve">Пусконаладочные работы  по замене агрегатных собственных нужд 0,4 кВ </t>
  </si>
  <si>
    <t>ПС 27,5/6 кВ Шестаково  
п. Шестаково, Нижнеилимский район, Иркутская область</t>
  </si>
  <si>
    <t xml:space="preserve">ПС 110/6 кВ Верхнемарково,
п. Верхнемарково, Иркутская область
</t>
  </si>
  <si>
    <t>ПС 110/35/10 кВ Киренская, 
г.Киренск, Иркутская область</t>
  </si>
  <si>
    <t>ПС 220/110/10 кВ Опорная,
г. Братск, Иркутская область</t>
  </si>
  <si>
    <t xml:space="preserve">ПС 220/110/10 кВ Заводская,
г. Братск, Иркутская область
</t>
  </si>
  <si>
    <t>ПС 35/10 " Большеокинск", ПС 35/10 "Калтук",  ПС 35/10 "Кардой",  ПС 35/10 "Новая Коршуниха", ПС 35/10 "Заморский", ПС 35/10 "Дальний", Иркутская  область</t>
  </si>
  <si>
    <t>ПС 220/110/35/6 кВ Коршуниха,
Иркутская область</t>
  </si>
  <si>
    <t>ПС 110/10 кВ Северная,
г.Братск, Иркутская область</t>
  </si>
  <si>
    <t>ПС Западная,
г. Братск Иркутская область</t>
  </si>
  <si>
    <t xml:space="preserve">ПС 500/220/10 кВ БПП (Братский переключательный пункт), Иркутская область </t>
  </si>
  <si>
    <t xml:space="preserve">ПС 220/10/6 кВ Бытовая, 
г. Иркутск
    </t>
  </si>
  <si>
    <t xml:space="preserve">ПС 220/110/10 кВ Правобережная
Иркутская область
</t>
  </si>
  <si>
    <t xml:space="preserve">ПС 220/10 кВ Шелехово
г.Шелехов, Иркутская область </t>
  </si>
  <si>
    <t xml:space="preserve">УПК-500 Тыреть,
п. Тыреть, Иркутская область </t>
  </si>
  <si>
    <t xml:space="preserve">Техническое обслуживание устройств РЗА и ПА ВЛ-579 </t>
  </si>
  <si>
    <t>Техническое  обслуживание устройств РЗА и ПА</t>
  </si>
  <si>
    <t>ПС 500/220/35 кВ Озерная,
г. Тайшет, Иркутская область</t>
  </si>
  <si>
    <t xml:space="preserve">Пусконаладочные работы терминала Siprotec 7SJ456 
</t>
  </si>
  <si>
    <t>ПС 35/10 кВ Морозная,
 г. Елизово, Камчатский край</t>
  </si>
  <si>
    <t>ПС 110/10 кВ Северная, 
г. Петропавловск-Камчатский</t>
  </si>
  <si>
    <t>ПС 500/220 кВ Усть-Кут,
г.Усть-Кут, Иркутская область</t>
  </si>
  <si>
    <t xml:space="preserve">ПС 110/35 кВ Викторовское,
Красноярский край   </t>
  </si>
  <si>
    <t>45</t>
  </si>
  <si>
    <t>ПС 110/10 кВ Юго-Западная,
г. Краснодар</t>
  </si>
  <si>
    <t>ПС 220 кВ Мамакан,  
п. Мамакан, Бодайбинский район, Иркутская область</t>
  </si>
  <si>
    <t>ПС 220 кВ Мамакан 
ПС 110 кВ Перевоз,
Бодайбинский район, Иркутская область</t>
  </si>
  <si>
    <t xml:space="preserve">ПС 110/10 кВ Юбилейная, 
г. Красноярск
</t>
  </si>
  <si>
    <t>ПС 110/10 кВ Молодежная,
г. Красноярск</t>
  </si>
  <si>
    <t xml:space="preserve">ПП 500 кВ Тобол 
г.Тобольск, Тюменская область 
</t>
  </si>
  <si>
    <t xml:space="preserve">ПС 110 кВ Шестой Рудник, г.Краснокаменск, Забайкальский край
</t>
  </si>
  <si>
    <t>ТП Забайкальск,
Забайкальский край</t>
  </si>
  <si>
    <t xml:space="preserve">Богучанский Алюминиевый Завод 
п. Таёжный,  Красноярский край
</t>
  </si>
  <si>
    <t>Пусконаладочные работы по ликвидации последствий аварии после падения крана БК-1000 Б</t>
  </si>
  <si>
    <t>Пусконаладочные работы по установке трансформаторной подстанции мазутонасосного хозяйства</t>
  </si>
  <si>
    <t>63</t>
  </si>
  <si>
    <t>Воткинская ГЭС,
г.Чайковский, Пермский край</t>
  </si>
  <si>
    <t xml:space="preserve">Пусконаладочные работы по испытанию высоковольтных ячеек 6 кВ </t>
  </si>
  <si>
    <t>Пусконаладочные работы по увеличению электрической мощности сцены</t>
  </si>
  <si>
    <t>Пусконаладочные работы электроснабжения LED-экрана</t>
  </si>
  <si>
    <t xml:space="preserve">КРУ-6 на месторождении «Дражное», 
Оймяконский район, 
Республика Саха (Якутия) </t>
  </si>
  <si>
    <t>67</t>
  </si>
  <si>
    <t>Спортивная школа олимпийского резерва «Спартак», г. Братск,
Иркутская область</t>
  </si>
  <si>
    <t>2</t>
  </si>
  <si>
    <t>4</t>
  </si>
  <si>
    <t>ТЭЦ-16,  г. Железногорск-Илимский, Иркутская область</t>
  </si>
  <si>
    <t>Ново-Иркутская ТЭЦ,
г. Иркутск</t>
  </si>
  <si>
    <t xml:space="preserve">Пусконаладочные работы по реконструкции электрооборудования крана козлового №2 г/п 150 т.   </t>
  </si>
  <si>
    <t xml:space="preserve">Пусконаладочные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
</t>
  </si>
  <si>
    <t xml:space="preserve">Пусконаладочные работы следующих комплексов: терминал АРЧМ, ГРАРМ с верхним уровнем, ЭГР 3Г, ССМД 3Г с верхним уровнем, ЭГР 4Г, ССМД 4Г с верхним уровнем
</t>
  </si>
  <si>
    <t xml:space="preserve">Пусконаладочные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
</t>
  </si>
  <si>
    <t xml:space="preserve">Пусконаладочные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
</t>
  </si>
  <si>
    <t>Иркутская ГЭС,
г. Иркутск</t>
  </si>
  <si>
    <t xml:space="preserve">ПС 220 кВ БЦБК,                                  г. Байкальск, Иркутская область
</t>
  </si>
  <si>
    <t>Пусконаладочные работы по автоматике охлаждения гидрогенераторов с 1 ГВС по 16 ГВС.</t>
  </si>
  <si>
    <t>Пусконаладочные работы по релейным защитам, автоматике и высоковольтные испытания оборудования ячеек ЗРУ -13,8 кВ.</t>
  </si>
  <si>
    <t>Пусконаладочные  работы, комплексное испытание после аварийно-восстановительного ремонта блочного трансформатора Т2 типа ТЦ 400000/500 УХЛ.</t>
  </si>
  <si>
    <t>Комплексное испытание электромагнитной части трансформатора Т7 типа ТЦ-400000/220-УХЛ1 (зав.№159935).</t>
  </si>
  <si>
    <t>Настройка оборудования, комплексное опробование устройства точной ручной синхронизации на пульт-столе ЦПУ выключателей присоединений КРУЭ 220 кВ и КРУЭ 500 кВ БоГЭС.</t>
  </si>
  <si>
    <t>Настройка оборудования, комплексное опробование  системы мониторинга переходных режимов  БоГЭС</t>
  </si>
  <si>
    <t>Высоковольтные испытания, измерение параметров оборудования, комплексное опробование  2КТПНУ-630 базы Богучанского водохранилища.</t>
  </si>
  <si>
    <t>Проверка сопротивления заземлителей и качества заземления прожекторных мачт ПМ-21.</t>
  </si>
  <si>
    <t xml:space="preserve">Высоковольтные испытания, измерение параметров оборудования. Настройка оборудования релейной защиты, автоматики, измерений и КИП. Комплексное испытание и опробование оборудования схемы СН 2 очереди. </t>
  </si>
  <si>
    <t xml:space="preserve">Пусконаладочные работы зарядно- подзарядных устройств
Измерения и испытания АБ                                                                   </t>
  </si>
  <si>
    <t>Пусконаладочные работы системы РЗиА и телемеханики (ТМ)
Измерения и испытания вторичного оборудования                                    Испытания силового электрооборудования</t>
  </si>
  <si>
    <t>Измерения и испытания вторичного оборудования                                    Испытания силового электрооборудования</t>
  </si>
  <si>
    <t xml:space="preserve">Измерения и испытания вторичного оборудования </t>
  </si>
  <si>
    <t>Испытания силового электрооборудования</t>
  </si>
  <si>
    <t>Пусконаладочные работы системы РЗиА
Измерения и испытания вторичного оборудования                                    Испытания силового электрооборудования</t>
  </si>
  <si>
    <t xml:space="preserve">Пусконаладочные работы системы РЗиА и телемеханики (ТМ)
Измерения и испытания вторичного оборудования                                    </t>
  </si>
  <si>
    <t>Испытание первичного оборудования, наладка СОПТ, собственных нужд, вспомогательного оборудования ПС, систем РЗиА, ТМ. Измерения и испытания вторичного оборудования</t>
  </si>
  <si>
    <t xml:space="preserve">Пусконаладочные работы системы РЗиА и телемеханики (ТМ), СОПТ, ЩСН, АСУТП, ПА
Измерения и испытания вторичного оборудования                                    Испытания силового электрооборудования
</t>
  </si>
  <si>
    <t xml:space="preserve">Пусконаладочные работы системы РЗиА и телемеханики (ТМ), СОПТ, ЩСН, АСУТП, ПА
Измерения и испытания вторичного оборудования                                    Испытания силового электрооборудования
</t>
  </si>
  <si>
    <t>Пусконаладочные работы системы РЗиА и телемеханики (ТМ), СОПТ, ЩСН, АСУТП, ПА
Измерения и испытания вторичного оборудования                                    Испытания силового электрооборудования</t>
  </si>
  <si>
    <t>Пусконаладочные работы системы РЗиА и телемеханики (ТМ),  АСУТП, ПА
Измерения и испытания вторичного оборудования                                    Испытания силового электрооборудования</t>
  </si>
  <si>
    <t>Пусконаладочные работы системы РЗиА.
Измерения и испытания вторичного оборудования                                    Испытания силового электрооборудования</t>
  </si>
  <si>
    <t xml:space="preserve">Пусконаладочные работы по частотным преобразователям.
Измерения и испытания вторичного оборудования                                    </t>
  </si>
  <si>
    <t xml:space="preserve">Пусконаладочные работы системы РЗиА, КИП
Измерения и испытания вторичного оборудования                                    </t>
  </si>
  <si>
    <t xml:space="preserve">Измерения и испытания вторичного оборудования                                    </t>
  </si>
  <si>
    <t xml:space="preserve">Измерения и испытания вторичного оборудования. Наладка системы электрообогрева.                                    </t>
  </si>
  <si>
    <t xml:space="preserve">Измерения и испытания силовых кабелей 6 кВ                                    </t>
  </si>
  <si>
    <t xml:space="preserve">Пусконаладочные работы системы ПА.
Измерения и испытания вторичного оборудования                                    </t>
  </si>
  <si>
    <t>Пусконаладочные работы системы РЗиА, телемеханики (ТМ)
Измерения и испытания вторичного оборудования                                    Испытания силового электрооборудования</t>
  </si>
  <si>
    <t>Наладка системы РЗиА, испытание ячеек 6 кВ, наладка собственных нужд и оборудования котла, сетей освещения производственных зданий УТЭЦ</t>
  </si>
  <si>
    <t>Наладка, испытание собственных нужд ГЭС, щитов постоянного тока</t>
  </si>
  <si>
    <t>Испытание силового оборудования, наладка и настройка контроллеров управления механизмов крана</t>
  </si>
  <si>
    <t xml:space="preserve">Пусконаладочные работы по испытанию кабеля с изоляцией из сшитого полиэтилена </t>
  </si>
  <si>
    <t xml:space="preserve">10.2019 </t>
  </si>
  <si>
    <t xml:space="preserve">Строительство объекта «под ключ»: разработка рабочей документации, поставка оборудования, строительно-монтажные и пусконаладочные работы по объекту «Комплексная реконструкция ПС 110/10 кВ Юбилейная с установкой трансформаторов 2х25 МВА и реконструкцией ОРУ/ЗРУ» </t>
  </si>
  <si>
    <t>Строительство объекта «под ключ»: разработка рабочей документации, поставка оборудования, строительно-монтажные, пусконаладочные работы по объекту «Комплексная реконструкция ПС 110/10 кВ «Молодежная» с заменой трансформаторов 2х25 на 2х40 МВА и реконструкцией ОРУ/ЗРУ»</t>
  </si>
  <si>
    <t xml:space="preserve">63П-50/16 от 01.12.2016 </t>
  </si>
  <si>
    <t xml:space="preserve">12.2016 </t>
  </si>
  <si>
    <t>31.12.2016</t>
  </si>
  <si>
    <t xml:space="preserve">63П-51/17от 23.01.2017 </t>
  </si>
  <si>
    <t>Пусконаладочные работы следующих комплексов:  терминал АРЧМ, ГРАРМ с верхним уровнем, ССМД 2Г с верхним уровнем</t>
  </si>
  <si>
    <t>Пусконаладочные работы следующих комплексов: терминал АВРЧМ, ГРАРМ с нижнем уровнем, ЭГР 6Г, ПТК ССМД 6Г с верхним уровнем</t>
  </si>
  <si>
    <t xml:space="preserve">63П-48/16 от 27.04.2016 </t>
  </si>
  <si>
    <t xml:space="preserve">04.2016 </t>
  </si>
  <si>
    <t>Пусконаладочные следующих комплексов: Терминал АРЧМ, ГРАРМ с верхним уровнем, ЭГР 5Г, ПТК ССМД 5Г с верхним уровнем, ЭГР 11Г, ССМД 11Г с верхним уровнем</t>
  </si>
  <si>
    <t xml:space="preserve">10.2019
</t>
  </si>
  <si>
    <t xml:space="preserve">34-СЭС-2017-ОКС-ц от 10.07.2017 </t>
  </si>
  <si>
    <t xml:space="preserve">ПС 220/110/35/10 кВ Байкальская, г. Иркутск
</t>
  </si>
  <si>
    <t xml:space="preserve">Разработка и корректировка проектной и рабочей документации, строительно-монтажные, пусконаладочные работы, поставка оборудования по объекту: «Реконструкция ПС 220 кВ Мамакан с реализацией полной схемы с двумя рабочими СШ-100 кВ и 220 кВ и установкой второго АТ» </t>
  </si>
  <si>
    <t xml:space="preserve">07.2019
</t>
  </si>
  <si>
    <t>11.2019</t>
  </si>
  <si>
    <t>48-СЭС-2019-ОКС-м от 02.09.2019 
ДС1-48-2019</t>
  </si>
  <si>
    <t>09.2019</t>
  </si>
  <si>
    <t xml:space="preserve">34-204.031/2019 от 17.07.2019 </t>
  </si>
  <si>
    <t xml:space="preserve">29-204.031/2019 от 17.07.2019 </t>
  </si>
  <si>
    <t xml:space="preserve">28-204.031/2019 от 17.07.2019 </t>
  </si>
  <si>
    <t xml:space="preserve">59-204.031/2019 от 09.10.2019 </t>
  </si>
  <si>
    <t>10.2019</t>
  </si>
  <si>
    <t xml:space="preserve">05-204.031/2019 от 22.03.2019 </t>
  </si>
  <si>
    <t>19-2019/ОНСО/БМУ от 17.06.2019</t>
  </si>
  <si>
    <t>Пусконаладочные работы по объекту: «Подстанция номинальным напряжением 110/35/0,4 кВ для присоединения объекта «Каменско-Красносулинская ВЭС – Южная площадка» (Сулинская ВЭС) к электрическим сетям»</t>
  </si>
  <si>
    <t>СМР, ПНР на объекте: "ПС 220кВ Таксимо. Установка устройств связи для обеспечения работоспособности устройств релейной защиты ячеек 220 кВ при подключении ВЛ 220 кВ Таксимо - Мамакан I и II цепь."</t>
  </si>
  <si>
    <t>08.2019</t>
  </si>
  <si>
    <t>Пусконаладочные работы на объекте: «Реконструкция ОРУ 220 кВ Подстанция Чара 220/110/35/10 кВ с изменением существующей схемы (для осуществления технологического присоединения энергетических установок ООО «Байкальская горная компания»)»</t>
  </si>
  <si>
    <t xml:space="preserve">010-289-19 от 20.02.2019 </t>
  </si>
  <si>
    <t>02.2019</t>
  </si>
  <si>
    <t>010-655-19  от 22.04.2019</t>
  </si>
  <si>
    <t>Электромонтажные и пусконаладочные работы по проекту "Модернизация системы очистки дымовых газов ИРП №4, ИРП №5, ИРП №6" филиала АО "Группа "Илим" в г. Братске</t>
  </si>
  <si>
    <t>010-1161-19 от 12.07.2019</t>
  </si>
  <si>
    <t>010-1874-19/БФ-6/19 от 15.11.2019</t>
  </si>
  <si>
    <t>010-1218-19 от 29.07.2019</t>
  </si>
  <si>
    <t>010-1087-19 от 12.07.2019</t>
  </si>
  <si>
    <t>23 от 13.09.2019</t>
  </si>
  <si>
    <t xml:space="preserve">Пусконаладочные работы системы РЗиА.
Измерения и испытания вторичного оборудования                                    Испытания силового электрооборудования </t>
  </si>
  <si>
    <t xml:space="preserve">Электромонтажные работы ТСК, ЦКС, ЦРГК 1 и 2, участка выбоя и зачистки катодного устройства с ПНР "Электролизное производство. Трансбордерный соединительный коридор"; "Электролизное производство. Циркуляционный коридор"; "Ремонтное производство. ЦКРЭ. Участок выбоя и зачистки катодного устройства"; "Цех ремонта грузоподъемных кранов. Ремонтная зона № 1 и № 2". </t>
  </si>
  <si>
    <t>1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</si>
  <si>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</si>
  <si>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</si>
  <si>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</si>
  <si>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</si>
  <si>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</si>
  <si>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</si>
  <si>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</si>
  <si>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</si>
  <si>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</si>
  <si>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</si>
  <si>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</si>
  <si>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</si>
  <si>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</si>
  <si>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</si>
  <si>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</si>
  <si>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</si>
  <si>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</si>
  <si>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</si>
  <si>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</si>
  <si>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</si>
  <si>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</si>
  <si>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</si>
  <si>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</si>
  <si>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</si>
  <si>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</si>
  <si>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</si>
  <si>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</si>
  <si>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</si>
  <si>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</si>
  <si>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</si>
  <si>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</si>
  <si>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</si>
  <si>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</si>
  <si>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</si>
  <si>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</si>
  <si>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</si>
  <si>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</si>
  <si>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</si>
  <si>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</si>
  <si>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</si>
  <si>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</si>
  <si>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</si>
  <si>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</si>
  <si>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</si>
  <si>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</si>
  <si>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</si>
  <si>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</si>
  <si>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</si>
  <si>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</si>
  <si>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</si>
  <si>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</si>
  <si>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</si>
  <si>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</si>
  <si>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</si>
  <si>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</si>
  <si>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</si>
  <si>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</si>
  <si>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</si>
  <si>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</si>
  <si>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</si>
  <si>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</si>
  <si>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</si>
  <si>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</si>
  <si>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</si>
  <si>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</si>
  <si>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</si>
  <si>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</si>
  <si>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</si>
  <si>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</si>
  <si>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</si>
  <si>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</si>
  <si>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</si>
  <si>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</si>
  <si>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</si>
  <si>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</si>
  <si>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</si>
  <si>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</si>
  <si>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</si>
  <si>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</si>
  <si>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</si>
  <si>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</si>
  <si>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</si>
  <si>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</si>
  <si>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</si>
  <si>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</si>
  <si>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</si>
  <si>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</si>
  <si>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</si>
  <si>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</si>
  <si>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</si>
  <si>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</si>
  <si>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</si>
  <si>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</si>
  <si>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</si>
  <si>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</si>
  <si>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</si>
  <si>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</si>
  <si>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</si>
  <si>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</si>
  <si>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</si>
  <si>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</si>
  <si>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</si>
  <si>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</si>
  <si>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</si>
  <si>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</si>
  <si>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</si>
  <si>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</si>
  <si>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</si>
  <si>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</si>
  <si>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</si>
  <si>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</si>
  <si>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</si>
  <si>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</si>
  <si>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</si>
  <si>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</si>
  <si>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</si>
  <si>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</si>
  <si>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</si>
  <si>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</si>
  <si>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</si>
  <si>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</si>
  <si>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</si>
  <si>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</si>
  <si>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</si>
  <si>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</si>
  <si>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</si>
  <si>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</si>
  <si>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</si>
  <si>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</si>
  <si>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</si>
  <si>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</si>
  <si>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</si>
  <si>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Богучанская ГЭС,
г. Кодинск, Красноярский край</t>
  </si>
  <si>
    <t>Группа Илим,
 г. Братск, Иркутская область</t>
  </si>
  <si>
    <t>Усть-Илимская ГЭС
г. Усть-Илимск, Иркутская область</t>
  </si>
  <si>
    <t xml:space="preserve"> Группа Илим,
 г. Братск, Иркутская область</t>
  </si>
  <si>
    <t>Капитальный ремонт и наладочные работы по объекту: замена ввода 220 кВ ф. С на ОВ-2-220 ПС Шелехово, замена ШОН на ВЛ-220 кВ ЩБЦ-269 ПС Шелехово</t>
  </si>
  <si>
    <t xml:space="preserve">Братская ГЭС 
г. Братск,  Иркутская область </t>
  </si>
  <si>
    <t xml:space="preserve">Строительно-монтажные и пуско-наладочные работы по объекту филиала ОАО "Иркутскэнерго" Братская ГЭС  Реконструкция электрооборудования крана козлового №2 г/п 150 т </t>
  </si>
  <si>
    <t xml:space="preserve">Строительно-монтажные, пусконаладочные работы и поставка оборудования по объекту филиала ОАО "Иркутскэнерго" Ново-Иркутская ТЭЦ в г. Иркутске: "Реконструкция схемы СН 2 очереди с заменой ТСР-2 на трансформатор ТРДНС-40000/220/6,3" </t>
  </si>
  <si>
    <t xml:space="preserve">ПС 35/10 кВ Черноруд,
Иркутская область
</t>
  </si>
  <si>
    <t>Строительно-монтажные  и пусконаладочные работы  по замене агрегатных собственных нужд 0,4 кВ по объекту филиала ОАО "Иркутскэнерго" Усть-Илимская ГЭС "Реконструкция типового блока 500 кВ  Реконструкция блока 8Т. АСН 0,4 кВ"</t>
  </si>
  <si>
    <t>Комплекс электромонтажных и пусконаладочных работ по объекту: 
"ПС 220/110/10 кВ Восточная"</t>
  </si>
  <si>
    <t>Пусконаладочные работы шинопроводов 3,4 и РП-7А, 7Б по проекту "Реконструкция турбинного отделения КТЦ ТЭС-3 с установкой двух противодавленческих турбин с давлением острого пара 90 бар"</t>
  </si>
  <si>
    <t>Пусконаладочные работы по шкафам защиты минимального напряжения распределительных устройств РП-7А, РП-7Б по объектам "Реконструкция ЦП. 1-я очередь строительства. Отбельный цех хлорного потока. Отдел промывки, сортировки и кислородной делигнификации хвойного потока"</t>
  </si>
  <si>
    <t>Электромонтажные и пусконаладочные работы в рамках проектов "Реконструкция целлюлозного производства. 1-я очередь строительства. Техническое перевооружение ЦКРИ"</t>
  </si>
  <si>
    <t>Строительно-монтажные  и пусконаладочные работы по объекту филиала ОАО "Иркутскэнерго" Усть-Илимская ГЭС "Реконструкция агрегатных собственных нужд 0,4 кВ блока 2Т"</t>
  </si>
  <si>
    <t>Пусконаладочные работы по реконструкции агрегатных собственных нужд 0,4 кВ блока 2Т</t>
  </si>
  <si>
    <t>Комплекс монтажных и пусконаладочных работ электротехнического оборудования  СГОУ №42 ОАО "РУСАЛ Братск"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</si>
  <si>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уровнем)
</t>
  </si>
  <si>
    <t>Поставка материалов, осуществление монтажных  и пусконаладочных работ по второму этапу автоматизированной системы опроса контрольно-измерительной аппаратуры (АСО КИА) гидротехнических сооружений Богучанской ГЭС</t>
  </si>
  <si>
    <t>Поставка, монтаж и пусконаладка оборудования системы охранного освещения</t>
  </si>
  <si>
    <t>Пусконаладочные работы: Анодно-монтажное отделение (АМО); Литейный цех</t>
  </si>
  <si>
    <t xml:space="preserve">Строительно-монтажные и пусконаладочные  работы по: кабельной эстакаде; реконструкции ячеек №1, №25 РП-10; трансформаторной подстанции ТП-309 в рамках проекта "Строительство отделения разложения сульфатного мыла" </t>
  </si>
  <si>
    <t xml:space="preserve">Строительно-монтажные и пусконаладочные работы по объекту: «Реконструкция ВЛ 220 кВ 1 цепь Седановский переключательный пункт - Богучанская ГЭС с переводом ее на напряжение 35 кВ; ПС 220/35 Джижива и СПП 220/6" с поставкой оборудования
</t>
  </si>
  <si>
    <t>Поставка, монтаж и ПНР по оснащению устройствами контроля изоляции (КИВ-500) высоковольтных вводов блочных трансформаторов (Т1-Т6)</t>
  </si>
  <si>
    <t>Настройка оборудования, комплексное опробование устройств контроля изоляции (КИВ-500) высоковольтных вводов блочных трансформаторов (Т1-Т6).</t>
  </si>
  <si>
    <t xml:space="preserve">Пусконаладочные работы Анодно-монтажного отделения (АМО), основного энергоузла "А", основного энергоузла "В" </t>
  </si>
  <si>
    <t xml:space="preserve">Строительство ПС 35/10кВ Мегет для электроснабжения п. Мегет Ангарского городского округа, Иркутской области  </t>
  </si>
  <si>
    <t xml:space="preserve">Техническое перевооружение ТП Черная с заменой тягового трансформатора с 20 МВА на 40 МВА - 1 шт. Установка УПК </t>
  </si>
  <si>
    <t>Техническое перевооружение тяговой подстанции Новочунка. Установка УПК</t>
  </si>
  <si>
    <t>Строительно- монтажные и пуско-наладочные работы по электроснабжению каркасных зданий, административно-бытового корпуса (АБК-1) и  первоочередного оборудования производственного корпуса хозяйственного двора БоГЭС</t>
  </si>
  <si>
    <t>Строительно-монтажные  и пусконаладочные работы по техническому  перевооружению топливоподающего тракта с заменой дробилок на объекте "Здание дробильного корпуса "</t>
  </si>
  <si>
    <t>ПС № 6, г. Усть-Илимск, Иркутская область</t>
  </si>
  <si>
    <t xml:space="preserve">СМР, пусконаладочные работы, поставка оборудования по объекту: "Реконструкция ПС 220 кВ Байкальская (монтаж 3 и 4 секции шин 10 кВ)"
</t>
  </si>
  <si>
    <t xml:space="preserve">Строительно-монтажные, пусконаладочные работы по объекту: "Реконструкция ПС 220 кВ Бытовая (замена Т-1 и Т-2 на 63 МВА, перевод нагрузки 1, 2 СШ - 6 кВ на 3, 4 СШ - 6 кВ) </t>
  </si>
  <si>
    <t>Техническое перевооружение ТП Невельская с заменой тягового трансформатора с 25 МВА на 40 МВА-1шт. и установкой УПК</t>
  </si>
  <si>
    <t>Группа Илим, г. Усть-Илимск, Иркутская область</t>
  </si>
  <si>
    <t xml:space="preserve">Пусконаладочные работы трансбордерной системы, лифтинговых устройств Корпуса электролиза №1,  лифтинговых устройств Корпуса электролиза №2
</t>
  </si>
  <si>
    <t>Пусконаладочные работы по проверке и настройке релейной защиты выпрямительных агрегатов: ВАКВ 25000/450 без трансформатора, ВАКВ 32000/600 в цехе энергоснабжения (ЦЭС) ХП</t>
  </si>
  <si>
    <t xml:space="preserve">Комплекс работ по объекту: "Реконструкция ВЛ 220 кВ 1 цепь Седановский переключательный пункт Богучанская ГЭС с переводом ее на напряжение 35 кВ; ПС 220/35 Джижива и СПП" </t>
  </si>
  <si>
    <t>Электромонтажные и пусконаладочные  работы по системе электрообогрева для реализации инвестиционного проекта "Подщелачивание скрубберной воды ИРП №4,5,6" ЦКРИ</t>
  </si>
  <si>
    <t xml:space="preserve">Комплекс работ по объекту: "ПС-50/220/110/35/10/6 "Иркутская" Замена МВ-220 № 1 АТ-10, МВ-220 кВ № 2 АТ на элегазовые" </t>
  </si>
  <si>
    <t xml:space="preserve">Комплекс общестроительных, электромонтажных и пусконаладочных работ по объекту: "Технологическое присоединение к электрическим сетям ОАО "ИЭСК" дополнительных энергопринимающих устройств ООО "Транснефть-Восток (НПС-1)" на ПС 500 кВ Озерная", устройство ячейки 35 кВ" </t>
  </si>
  <si>
    <t>Работы по объекту филиала ПАО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2Г, ПТК ССМД 2Г с верхним уровнем)</t>
  </si>
  <si>
    <t>Техническое перевооружение контактной сети на участке Ния-Звездная с установкой АТП</t>
  </si>
  <si>
    <t xml:space="preserve">Строительно-монтажные, пусконаладочные работы и поставка оборудования по Объекту филиала ПАО «Иркутскэнерго» Усть-Илимская ГЭС «Техническое перевооружение гидроагрегатов У-ИГЭС для оптимизации режима работы системы охлаждения», по объектам основных средств с Гидрогенератора 1 ВГС 1190/ 215  по Гидрогенератор 16 </t>
  </si>
  <si>
    <t xml:space="preserve">Пусконаладочные работы оборудования ОРУ-220 кВ, в целях строительства Объекта: «ПС 500 кВ Усть-Кут с заходами ВЛ 500 кВ и 220 кВ» для нужд филиала ПАО «ФСК ЕЭС» - МЭС Сибири </t>
  </si>
  <si>
    <t xml:space="preserve"> ПС 110 кВ Центральная,
 Иркутская область
</t>
  </si>
  <si>
    <t xml:space="preserve">Строительно-монтажные, наладочные работы по титулу: «Замена высоковольтных вводов 110-220 кВ» в составе: 
"Замена горизонтальных вводов 110 кВ Т-1, Т-2 ПС 110 кВ Центральная";
"Замена вводов 110 кВ ф В и С на АТ-8 (типа АТДЦТН 200000/220) ПС Шелехово"; "Замена горизонтальных вводов ВЛ-110 ГЭС ПС 110 кВ Центральная "
</t>
  </si>
  <si>
    <t>Братский алюминиевый завод
г. Братск, Иркутская обл.</t>
  </si>
  <si>
    <t>Строительно-монтажные работы по прокладке кабельных сетей, электроосвещению, монтажу системы отопления и вентиляции, монтажу силового электрооборудования и пусконаладочные работы на СГОУ № 61</t>
  </si>
  <si>
    <t xml:space="preserve">Быстринский горно-обогатительный комбинат (ГОК) 
Газимуро-заводской район, Забайкальский край </t>
  </si>
  <si>
    <t>Выполнение работ по устранению неисправностей системы отопления объекта схемы выдачи мощности Богучанской ГЭС: «Открытый пункт перехода (500 кВ) на строящейся Богучанской ГЭС с токопроводами связи (500 кВ) - от комплектного распределительного устройства элегазового (500 кВ) до открытого пункта перехода (500 кВ)»</t>
  </si>
  <si>
    <t>Работы по испытанию электрооборудования на объекте ООО "ГРК "Быстринское"</t>
  </si>
  <si>
    <t>ГПП 110/6 кВ Машзавод-2,  
г. Улан-Удэ, Республика Бурятия</t>
  </si>
  <si>
    <t xml:space="preserve">Группа Илим,
 г. Братск, Иркутская область
</t>
  </si>
  <si>
    <t xml:space="preserve">Электромонтажные и пусконаладочные работы согласно проекта "Техническое перевооружение производства диоксида хлора для обеспечения отбеливающими химикатами отбельных цехов" </t>
  </si>
  <si>
    <t>Работы по прогрузке автоматических выключателей энергооборудования на щитах КИПиА на объектах Хлорного производства</t>
  </si>
  <si>
    <t>УТЭЦ  Новолипецкого металлургического комбината,       г. Липецк</t>
  </si>
  <si>
    <t>Услуги по техническому обслуживанию устройств РЗА и ПА оборудования 110-500 кВ на ПС Тайшет и ПС 500 кВ Озерная</t>
  </si>
  <si>
    <t xml:space="preserve">Пусконаладочные работы на объекте ЗАО «БоАЗ», склад глинозёма </t>
  </si>
  <si>
    <t>Работы по прогрузке автоматических выключателей (83 шт) энергооборудования на щитах КИПиА на объектах Хлорного производства цех №5</t>
  </si>
  <si>
    <t>Работы по прогрузке автоматических выключателей (в объеме 300 шт.) энергооборудования на щитах КИПиА на объектах Хлорного производства цехов №№2,3</t>
  </si>
  <si>
    <t>Группа Илим,                                      г. Усть-Илимск, Иркутская область</t>
  </si>
  <si>
    <t>Работы по профилактическим испытаниям электрооборудования производств филиала АО "Группа "Илим" в г. Братске</t>
  </si>
  <si>
    <t xml:space="preserve">Строительно-монтажные, пусконаладочные работы по объекту : «Электроснабжение мелких потребителей» (ПС Городская) с поставкой оборудования для нужд филиала ОАО «ИЭСК» Северные электрические сети </t>
  </si>
  <si>
    <t xml:space="preserve">ПС 220 кВ Петровск-Забайкальская,                  г.Петровск-Забайкальский,  
Забайкальский край
</t>
  </si>
  <si>
    <t>Электромонтажные и пусконаладочные работы для реализации инвестиционного проекта "Строительство нового бакового хозяйства УКРИ" (расходный бак крепкого белого щелока беленый РВС-2000 3114-0050, инв. № 36201040021048) ПХиЛ ПРиЭ</t>
  </si>
  <si>
    <t xml:space="preserve">Комплекс работ по созданию противоаварийной автоматики ТЭЦ и ПС 220 кВ ЦРП
</t>
  </si>
  <si>
    <t>ТЭЦ г. Краснокаменск,                      г. Краснокаменск,
Забайкальский край</t>
  </si>
  <si>
    <t>Работы по прогрузке автоматических выключателей</t>
  </si>
  <si>
    <t>Группа Илим,                                        г. Усть-Илимск, Иркутская область</t>
  </si>
  <si>
    <t xml:space="preserve">Строительно-монтажные, пусконаладочные работы, поставка оборудования по титулу "Технологическое присоединение к электрическим сетям ОАО "ИЭСК" дополнительных энергопринимающих устройств ООО "ОК РУСАЛ Анодная Фабрика" на ПС 500/220/35 кВ Озерная» </t>
  </si>
  <si>
    <t>ТЭЦ г. Краснокаменск,                       г. Краснокаменск,
Забайкальский край</t>
  </si>
  <si>
    <t>Комплекс работ по техническому перевооружению релейной защиты ВЛ 110 кВ ТЭЦ и ПС 220 кВ ЦРП</t>
  </si>
  <si>
    <t>Группа Илим,                                 г.Братск, Иркутская область</t>
  </si>
  <si>
    <t>Профилактические испытания электрооборудования на объектах Хлорного производства Филиала АО "Группа "Илим" в г. Братске</t>
  </si>
  <si>
    <t>Группа Илим,                          г.Братск, Иркутская область</t>
  </si>
  <si>
    <t>ПС 110/35 кВ Сулинская, 
г. Каменск-Шахтинский, Ростовская область</t>
  </si>
  <si>
    <t>Группа Илим,                                       г. Братск, Иркутская область</t>
  </si>
  <si>
    <t>Электромонтажные и пусконаладочные работы по реконструкции оборудования 1 и 2 секции РУ-6 кВ РП-2 в рамках реализации инвестиционного проекта "Реконструкция РП-2" ВПЦ ПК</t>
  </si>
  <si>
    <t xml:space="preserve">СМР и ПНР на "ПС 500 кВ Иркутская Замена масляного выключателя 220 кВ ВЛ № 216 на элегазовый" в составе объектов основных средств:
- ГПП-1 ЛЭП-216 УСТРОЙСТВА РЭА, 
- ГПП-1 ОРУ-220 КВ ЯЧЕЙКА ЛЭП-216 ДРАГМЕТАЛЛ,
- ГПП-1 ЛЭП-216 УСТ-ВА РЗА </t>
  </si>
  <si>
    <t xml:space="preserve">СМР и ПНР на "ПС 500 кВ Иркутская. Замена масляного выключателя 220 кВ ВЛ № 209 на элегазовый", в составе объектов основных средств:
- ОРУ-220 КВ ГПП-1 ЯЧЕЙКА ЛЭП-209, 
- ГПП-1 ОРУ-220 ЯЧЕЙКА ЛЭП-209 ДРАГМЕТАЛЛ
- ГПП-1 ЛЭП-209 УСТ ВА РЗА </t>
  </si>
  <si>
    <t xml:space="preserve">ПС 220/110/35/10 кВ Чара,
Забайкальский край, Каларский район
</t>
  </si>
  <si>
    <t>Группа Илим                                         г.Братск, Иркутская область</t>
  </si>
  <si>
    <t xml:space="preserve">Проведение испытаний автоматических выключателей на щитах КИПиА Хлорного производства в цехах № 1, 2, 3, 4, 5 т и цехе рассолопромысла. </t>
  </si>
  <si>
    <t>Группа Илим                            г.Братск, Иркутская область</t>
  </si>
  <si>
    <t xml:space="preserve">Проведение испытаний и измерений  электрооборудования на ПХЦ и ПРиЭ </t>
  </si>
  <si>
    <t>ПС 220 кВ Таксимо 
п. Таксимо, Республика Бурятия</t>
  </si>
  <si>
    <t>ПС 220/110/10 кВ Опорная
г. Братск, Иркутская область</t>
  </si>
  <si>
    <t xml:space="preserve">Строительно-монтажные, пусконаладочные работы по объекту: «Оснащение новыми устройствами АЧР присоединений 110 кВ ЦКК-1, ЦКК-2,ЦКК-3, ЦКК-4, ЦКК-5 ПС-220 кВ «Опорная») </t>
  </si>
  <si>
    <t xml:space="preserve">Электромонтажные и пусконаладочные работы по монтажу заземления экрана в здании ТКЦ Братск-АРТ </t>
  </si>
  <si>
    <t>Группа Илим,                                        г. Братск, Иркутская область</t>
  </si>
  <si>
    <t>Электромонтажные и пусконаладочные работы по реконструкции оборудования 1 и 2 секции РУ-6 кВ РП-2 в рамках реализации инвестиционного проекта "Реконструкция РП-2" Производство картона ВПЦ  филиала АО "Группа "Илим" в г. Братске</t>
  </si>
  <si>
    <t>Монтаж и пусконаладочные  работы силового оборудования Богучанской ГЭС</t>
  </si>
  <si>
    <t>Выполнение комплекса электромонтажных и пусконаладочных работ собственных нужд, системы освещения и заземления Богучанской ГЭС</t>
  </si>
  <si>
    <t xml:space="preserve">Испытание автоматических выключателей на щитах КИПиА Хлорного производства в цехах № 1, 2, 3, 4, 5 т и цехе рассолопромысла. </t>
  </si>
  <si>
    <t xml:space="preserve">Испытания и измерения электрооборудования на ПХЦ и ПРиЭ </t>
  </si>
  <si>
    <t>Релейная защита и автоматика линий 220 кВ, испытание первичного оборудования 220 кВ, АСУ ТП (нижний уровень)</t>
  </si>
  <si>
    <t>Профилактические испытания электрооборудования (проверка действия расцепителей автоматических выключателей, измерение сопротивления изоляции проводов, кабеля оборудования, измерение сопротивления заземялющего устройства)</t>
  </si>
  <si>
    <t>Испытание и наладка элегазового выключателя</t>
  </si>
  <si>
    <t>05.2019</t>
  </si>
  <si>
    <t>1/0917-18 от 18.06.2018</t>
  </si>
  <si>
    <t>12.2008</t>
  </si>
  <si>
    <t>12.2009</t>
  </si>
  <si>
    <t>Испытание и настройка оборудования ВЧ-связи, настройка терминалов РЗА защиты линий</t>
  </si>
  <si>
    <t xml:space="preserve">Монтаж и настройка шкафов телемеханики </t>
  </si>
  <si>
    <t>Выполнение ПНР по форматированию АБ и пуску в работу ВАЗП</t>
  </si>
  <si>
    <t>Настройка терминала противоаварийной автоматики линий                                                                                                              Измерения и испытания вторичного оборудования</t>
  </si>
  <si>
    <t>Испытание и наладка оборудования ВЧ-связи</t>
  </si>
  <si>
    <t>12.2020</t>
  </si>
  <si>
    <t xml:space="preserve">Комплекс пусконаладочных работ блочных трансформаторов ТЦ-400000/500-УХЛ-1 </t>
  </si>
  <si>
    <t xml:space="preserve">Пусконаладочные работы системы противоаварийной автоматики.
Измерения и испытания вторичного оборудования.                                    </t>
  </si>
  <si>
    <t>Пусконаладочные работы системы РЗиА и телемеханики (ТМ).
Измерения и испытания вторичного оборудования.                                    Испытания силового электрооборудования.</t>
  </si>
  <si>
    <t>Измерения и испытания аккумуляторной батареи.</t>
  </si>
  <si>
    <t>Пусконаладочные работы зарядно- подзарядных устройств.
Измерения и испытания аккумуляторной батареи.</t>
  </si>
  <si>
    <t>Пусконаладочные работы электротехнического оборудования сухой газоочистной установки №42 (СГОУ №42), измерения и испытания электрооборудования СГОУ №42)</t>
  </si>
  <si>
    <t>Настройка аппаратуры, испытания оборудования, испытание силовых и вторичных цепей автоматизированной системы опроса контрольно-измерительной аппаратуры (АСО КИА) гидротехнических сооружений Богучанской ГЭС.</t>
  </si>
  <si>
    <t>Настройка, испытания оборудования, силовых и вторичных цепей системы охранного освещения.</t>
  </si>
  <si>
    <t>Испытания силовых и вторичных цепей.</t>
  </si>
  <si>
    <t>Настройка, испытания оборудования, силовых и вторичных цепей распределительных подстанций РП-1, РП-2 и АСУТП БоГЭС. Комплексное опробование АСУТП БоГЭС.</t>
  </si>
  <si>
    <t>Настройка, испытания оборудования, испытания силовых и вторичных цепей каркасных зданий, административно-бытового корпуса (АБК-1) и  первоочередного оборудования производственного корпуса хозяйственного двора БоГЭС.</t>
  </si>
  <si>
    <t>Настройка, испытания оборудования, силовых и вторичных цепей. Комплексное опробование топливоподающего тракта.</t>
  </si>
  <si>
    <t>Пусконаладочные работы зарядно- подзарядных устройств
Измерения и испытания аккумуляторной батареи.</t>
  </si>
  <si>
    <t xml:space="preserve">Измерения и испытания вторичного оборудования, испытания силовых и вторичных цепей. Настройка параметров устройств автоматики    </t>
  </si>
  <si>
    <t>Измерения и испытания вторичного оборудования.                                    Испытания силового кабеля.</t>
  </si>
  <si>
    <t>Испытание первичного оборудования, наладка СОПТ, собственных нужд, вспомогательного оборудования ПС, систем РЗиА, ТМ. Измерения и испытания вторичного оборудования.</t>
  </si>
  <si>
    <t xml:space="preserve">Измерения и испытания вторичного оборудования, испытания силовых и вторичных цепей. </t>
  </si>
  <si>
    <t>Измерения и испытания вторичного оборудования.                                    Испытания трансформатора типаТДЦПУД-16000/10У1.</t>
  </si>
  <si>
    <t>Измерения и испытания вторичного оборудования.                                    Испытания силового электрооборудования.</t>
  </si>
  <si>
    <t xml:space="preserve">Пусконаладочные работы оборудования систем РЗА и ВЧ связи </t>
  </si>
  <si>
    <t xml:space="preserve">Измерения и испытания вторичного оборудования, испытание силовых и вторичных цепей. Настройка параметров устройств автоматики.   </t>
  </si>
  <si>
    <t xml:space="preserve">Пусконаладочные работы вновь смонтированных обогревателей.
</t>
  </si>
  <si>
    <t>Испытание электрооборудования насосной станции CHZMEK-PST 704/70.2</t>
  </si>
  <si>
    <t xml:space="preserve">Пусконаладочные работы системы РЗиА и телемеханики (ТМ), СОПТ, ЩСН, АСУТП, ПА.
Измерения и испытания вторичного оборудования.                                    Испытания силового электрооборудования.
</t>
  </si>
  <si>
    <t xml:space="preserve">Пусконаладочные работы системы цифровых РЗиА и телемеханики (ТМ), СОПТ, ЩСН, АСУТП, ПА.
Измерения и испытания вторичного оборудования.                                    Испытания силового электрооборудования.
</t>
  </si>
  <si>
    <t xml:space="preserve">Пусконаладочные работы системы РЗиА и телемеханики (ТМ), СОПТ, ЩСН, АСУТП, ПА.
Измерения и испытания вторичного оборудования.                                    Испытания силового электрооборудования.
</t>
  </si>
  <si>
    <t>Измерения и испытания вторичного оборудования, испытания силовых и вторичных цепей. Настройка параметров устройств автоматики.</t>
  </si>
  <si>
    <t>Проверка действия расцепителей автоматических выключателей, измерение сопротивления изоляции проводов и кабелей электрооборудования и вторичных цепей (до 1000В), проверка соединений заземлителей с заземляемыми элементами, проверка полного сопротивления петли "фаза-нуль", измерение сопротивления заземляющего устройства.</t>
  </si>
  <si>
    <t>Проверка действия расцепителей автоматических выключателей</t>
  </si>
  <si>
    <t>63П-31/14 от 31.07.14</t>
  </si>
  <si>
    <t>Пусконаладочные работы систем управления ГА</t>
  </si>
  <si>
    <t>508С001С361  от 23.01.14 доп.согл 1 от 18.11.14</t>
  </si>
  <si>
    <t>Выполнение СМР по объекту: "Монтаж электрооборудования склада глинозема, склада фторсолей и УПСГ в бункер ГОУ1"</t>
  </si>
  <si>
    <t>508С001С415 от 21.08.14</t>
  </si>
  <si>
    <t>Монтаж электрооборудования АМО</t>
  </si>
  <si>
    <t>Испытание электрооборудования склада глинозема, склада фторсолей и УПСГ в бункер ГОУ</t>
  </si>
  <si>
    <t>Испытание электрооборудованя АМО</t>
  </si>
  <si>
    <t>Испытание оборудования КРУЭ, КПП1, ГПП.</t>
  </si>
  <si>
    <t>Испытание электрооборудования</t>
  </si>
  <si>
    <t>Проверка наличия цепи между заземлителями и заземленными элементами</t>
  </si>
  <si>
    <t>Испытания электрооборудования котельной</t>
  </si>
  <si>
    <t>Виды работ</t>
  </si>
  <si>
    <t>Высоковольтные испытания оборудования схемы 6 кВ временного электроснабжения основных сооружений Богучанской ГЭС</t>
  </si>
  <si>
    <t>Пусконаладочные работы системы РЗиА и телемеханики 
Измерения и испытания вторичного оборудования                                    Испытания силового электрооборудования</t>
  </si>
  <si>
    <t xml:space="preserve">ПС 220/10/6 кВ Бытовая 
ПС Кировская,
Иркутская область
</t>
  </si>
  <si>
    <t>508С001С205 от  18.12.12</t>
  </si>
  <si>
    <t>ПС 220 кВ Кодинская ГПП,
г.Кодинск,  Красноярский край</t>
  </si>
  <si>
    <t>ПС 110/10 кВ Покровская,                п.Пивовариха, Иркутский район</t>
  </si>
  <si>
    <t>ПС 220/110 кВ Восточная,
г. Иркутск</t>
  </si>
  <si>
    <t>Богучанский Алюминиевый Завод п. Таёжный,  Красноярский край</t>
  </si>
  <si>
    <t xml:space="preserve">ПС 500/220/110/35 кВ Иркутская,
г. Ангарск, Иркутская область </t>
  </si>
  <si>
    <t>Муниципальное автономное учреждение культуры «Театрально-концертный центр «Братск-АРТ» ,
г. Братск, Иркутская область</t>
  </si>
  <si>
    <t>Муниципальное автономное учреждение культуры «Театрально-концертный центр «Братск-АРТ»,
г. Братск, Иркутская область</t>
  </si>
  <si>
    <t xml:space="preserve">ПС 110/10/6 кВ Промплощадка, Газимуро-заводской район, Забайкальский край </t>
  </si>
  <si>
    <t xml:space="preserve">ПС 110 кВ Северо-Восточная, 
г. Краснодар 
</t>
  </si>
  <si>
    <t xml:space="preserve">ПС 110 кВ Промплощадка, Газимуро-заводской район, Забайкальский край </t>
  </si>
  <si>
    <t>ОГБПОУ Братский медицинский колледж, г. Братск, Иркутская область</t>
  </si>
  <si>
    <t xml:space="preserve">ПС 110 кВ Северо-Восточная, 
г. Краснодар
</t>
  </si>
  <si>
    <t>ПС 500/110/35 кВ Тайшет
ПС 500/220/35 кВ Озерная,
Иркутская область</t>
  </si>
  <si>
    <t>ПС 110 кВ Городская,
г. Братск, Иркутская область</t>
  </si>
  <si>
    <t xml:space="preserve">1710 от 11.11.2019 </t>
  </si>
  <si>
    <t xml:space="preserve">09/12 от 09.12.2019 </t>
  </si>
  <si>
    <t>Выполнение пусконаладочных работ «под нагрузкой» по объекту: Техническое перевооружение ТП Коршуниха с заменой тягового трансформатора с 20 МВА на 40 МВА - 2 шт.  Установка УПК.</t>
  </si>
  <si>
    <t xml:space="preserve">6845/РТМ-ГЭМ от 09.12.2019 </t>
  </si>
  <si>
    <t xml:space="preserve">Выполнение пусконаладочных работ «под нагрузкой» по объекту: Техническое перевооружение ТП Черная с заменой тягового трансформатора с 20 МВА на 40 МВА - 1 шт. Установка УПК. </t>
  </si>
  <si>
    <t>ПС 220/35/10 кВ «Удоканский ГМК» I этап, п. Новая Чара, Каларский район, Забайкальский край</t>
  </si>
  <si>
    <t>БГК-19-70 от 03.04.2019</t>
  </si>
  <si>
    <t>Строительство объекта «под ключ»: поставка оборудования, строительно-монтажные, пусконаладочные работы по объекту капитального строительства ПС 220/35/10 кВ «Удоканский ГМК» I этап</t>
  </si>
  <si>
    <t>88</t>
  </si>
  <si>
    <t>89</t>
  </si>
  <si>
    <t>128</t>
  </si>
  <si>
    <t>150</t>
  </si>
  <si>
    <t>153</t>
  </si>
  <si>
    <t>154</t>
  </si>
  <si>
    <t>180</t>
  </si>
  <si>
    <t>208</t>
  </si>
  <si>
    <t xml:space="preserve">Испытания оборудования трансформаторной подстанции 35/10 кВ </t>
  </si>
  <si>
    <t>Испытания оборудования тяговой подстанции "под нагрузкой"</t>
  </si>
  <si>
    <t>Испытания оборудования, силовых и вторичных цепей  собственных нужд, системы освещения и заземления Богучанской ГЭС</t>
  </si>
  <si>
    <t>Испытания оборудования, силовых и вторичных цепей собственных нужд станции на напряжении 6 и 0,4 кВ</t>
  </si>
  <si>
    <t>Пусконаладочные работы системы РЗиА
Испытания силового электрооборудования: 110 кВ, 35 кВ, 10 кВ                                                                                  Измерения и испытания вторичного оборудования</t>
  </si>
  <si>
    <t>Пусконаладочные работы системы РЗиА 220 кВ, 110 кВ
Испытания силового электрооборудования:220 кВ, 110 кВ                                                                            Измерения и испытания вторичного оборудования</t>
  </si>
  <si>
    <t>Высоковольтные испытания, измерение параметров оборудования. Настройка оборудования релейной защиты, автоматики, измерений и АСУТП. Комплексное испытание и опробование оборудования ПС 110/6 кВ "Верхнемарково"</t>
  </si>
  <si>
    <t>Высоковольтные испытания, измерение параметров оборудования КРУЭ 220 кВ  Богучанской ГЭС.</t>
  </si>
  <si>
    <t>Пусконаладочные работы системы РЗиА.
Испытания силового электрооборудования 220 кВ, 110 кВ, 35 кВ.                                                                                     Измерения и испытания вторичного оборудования.</t>
  </si>
  <si>
    <t>Пусконаладочные работы системы РЗиА 110 кВ, 35 кВ,       6 кВ
Испытания силового электрооборудования 110 кВ, 35 кВ,   6 кВ                                                                                            Измерения и испытания вторичного оборудования</t>
  </si>
  <si>
    <t>Измерения и испытания аккумляторных батарей</t>
  </si>
  <si>
    <t>Пусконаладочные работы системы РЗиА 220 кВ, 110 кВ,    35 кВ, 6 кВ
 Испытания силового электрооборудования 220 кВ, 110 кВ, 35 кВ, 6 кВ.                                                                            Измерения и испытания вторичного оборудования.</t>
  </si>
  <si>
    <t>Пусконаладочные работы системы РЗиА 110 кВ, 35 кВ,     10 кВ
Испытания силового электрооборудования: 110 кВ, 35 кВ, 10 кВ.                                                                                             Измерения и испытания вторичного оборудования.</t>
  </si>
  <si>
    <t>Пусконаладочные работы по модернизации электрооборудования (защит и автоматики) козлового крана зав.№1 рег.№152</t>
  </si>
  <si>
    <t xml:space="preserve">Измерения и испытания вторичного оборудования, испытание силовых и вторичных цепей                                  </t>
  </si>
  <si>
    <t>Испытания оборудования 110 кВ, 27,5 кВ, 10 кВ, ВЧ-связи                                                                        Настройка терминалов защит оборудования 110 кВ, 27,5 кВ, 10 кВ , защит линий и противоаварийной автоматики                                                                    Измерения и испытания вторичного оборудования</t>
  </si>
  <si>
    <t>Испытания оборудования 110 кВ, 27,5 кВ, 10 кВ, ВЧ-связи                                                                                                             Настройка терминалов защит оборудования 110 кВ, 27,5 кВ, 10 кВ , защит линий и противоаварийной автоматики                                                                    Измерения и испытания вторичного оборудования</t>
  </si>
  <si>
    <t>Испытания оборудования 110 кВ, 27,5 кВ, 10 кВ, ВЧ-связи                     Настройка терминалов защит оборудования 110 кВ, 27,5 кВ, 10 кВ , защит линий и противоаварийной автоматики                                                                    Измерения и испытания вторичного оборудования</t>
  </si>
  <si>
    <t>Испытания оборудования 110 кВ, 27,5 кВ, 10 кВ                     Настройка терминалов защит оборудования 110 кВ, 27,5 кВ, 10 кВ , защит линий и противоаварийной автоматики                                                                    Измерения и испытания вторичного оборудования</t>
  </si>
  <si>
    <t>Пусконаладочные работы  по измерениям и испытаним вторичного оборудования, испытания трансформатора ТРДЦН-80000 КВА зав. №7 (инв. №36201040001597), испытания  выпрямительного агрегата ВАКВ 32000/600 (инв. №36201040017079). Пусконаладочные работы системы РЗиА.</t>
  </si>
  <si>
    <t>Испытания оборудования 110 кВ, 27,5 кВ, 10 кВ                     Настройка терминалов защит оборудования 110 кВ, 27,5 кВ, 10 кВ, защит линий и противоаварийной автоматики                                                                    Измерения и испытания вторичного оборудования</t>
  </si>
  <si>
    <t>Испытания оборудования 220 кВ, 27,5 кВ,ВЧ-связи.                    Настройка терминалов: защит оборудования 220 кВ, защит линий и противоаварийной автоматики.                                                                    Измерения и испытания вторичного оборудования.</t>
  </si>
  <si>
    <t>Проверка действия расцепителей автоматических выключателей, измерение сопротивления изоляции проводов и кабелей электрооборудования и вторичных цепей (до 1000 В), проверка соединений заземлителей с заземляемыми элементами, проверка полного сопротивления петли "фаза-нуль", измерение сопротивления заземляющего устройства.</t>
  </si>
  <si>
    <t>Проверка действия расцепителей автоматических выключателей, измерение сопротивления изоляции проводов и кабелей электрооборудования и вторичных цепей (до 1000 В)</t>
  </si>
  <si>
    <t xml:space="preserve"> Проверка действия расцепителей автоматических выключателей, измерение сопротивления изоляции проводов и кабелей электрооборудования и вторичных цепей (до 1000 В)</t>
  </si>
  <si>
    <t>Испытания оборудования 10 кВ, 0,4 кВ                                              Настройка и пуск в работу РЗА 10 кВ, оборудования 0,4кВ</t>
  </si>
  <si>
    <t>Пусконаладочные работы автотрансформаторов АТДЦТН-63000/220 (2 шт.) и трансформаторов ТДН-16000/110 (2шт.)</t>
  </si>
  <si>
    <t>РЗА и АСУТП, АИИСКУЭ ОРУ 220 кВ, ЗРУ 35 кВ, ЗРУ 10 кВ.                                                                              Испытания оборудования ОРУ 220 кВ, ЗРУ 35 кВ, ЗРУ 10 кВ, СОПТ, ЩСН.</t>
  </si>
  <si>
    <t>Испытания оборудования ОРУ-110 кВ, РУ-35 кВ, ОПУ</t>
  </si>
  <si>
    <t>Испытания оборудования 6 кВ                                                Настройка терминалов защит оборудования 6 кВ                                      Измерения и испытания вторичного оборудования</t>
  </si>
  <si>
    <t>Испытания оборудования 6 кВ                                                Настройка терминалов защит  оборудования 6 кВ                                      Измерения и испытания вторичного оборудования</t>
  </si>
  <si>
    <t>Учебная трансформаторная подстанция 35/10 кВ для нужд КУИЦ «Энергетика» - БрГУ
Иркутская область, г. Братск</t>
  </si>
  <si>
    <t>Объекты хозяйства электрификация и электроснабжения железнодорожной инфраструктуры Восточного полигона ОАО РЖД , в том числе:</t>
  </si>
  <si>
    <t>ТП 110/27,5 кВ Видим,         п.Видим, Нижнеилимский район, Иркутская область</t>
  </si>
  <si>
    <t>12.2021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</si>
  <si>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Черняков В.И. </t>
  </si>
  <si>
    <t>Заказчик: ОАО "Иркутскэнерго"
664025, г. Иркутск, ул. Сухэ-Батора,3
Генеральный директор Федоров Е.В. 
Филиал ОАО "Иркутскэнерго" Иркутская ГЭС 
664056, г. Иркутск, Иркутская ГЭС, а/я 3408
тел.: (3952)793-859, факс:(3952)793-856
Директор филиала Усов С.В.
Генподрядчик: ООО "ЕвроСибЭнерго-инжиниринг" 
664050,г. Иркутск, ул. Байкальская, д. 259
тел.: (3952) 794-683, факс: (3952) 794-546
Генеральный директор Шарабурак В.А.</t>
  </si>
  <si>
    <t>Строительно-монтажные  и пусконаладочные  работы по объекту филиала ОАО "Иркутскэнерго"  Иркутская ГЭС: "Реконструкция схемы собственных нужд станции на напряжении 6 и 0,4 кВ. IV пусковой комплекс"</t>
  </si>
  <si>
    <t>Заказчик: ОАО «Иркутская электросетевая компания»                                                        664033, г. Иркутск, ул. Лермонтова 257,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</si>
  <si>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 xml:space="preserve">Строительно-монтажные  и пусконаладочные  работы по объекту: "Реконструкция ПС 220/110/35/6 кВ "Лена". II пусковой комплекс" </t>
  </si>
  <si>
    <t>ПС 220/110/35/6 кВ Лена, 
г. Усть-Кут,  Иркутская область</t>
  </si>
  <si>
    <t>Заказчик: ОАО «Иркутская электросетевая компания»                                                        664033, г. Иркутск, ул. Лермонтова 257,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</si>
  <si>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Заказчик: ОАО «Иркутская электросетевая компания»                                                        664033, г. Иркутск, ул. Лермонтова 257,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</si>
  <si>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Проектно-изыскательские, строительно-монтажные  и пусконаладочные  работы по объекту: "ПС 110/6 кВ "Верхнемарково" с отпайкой ВЛ-110 кВ "</t>
  </si>
  <si>
    <t xml:space="preserve">ПС 220/110 кВ Шелехово
г.Шелехов, Иркутская область </t>
  </si>
  <si>
    <t xml:space="preserve">Электромонтажные  работы на ячейках "А" и "Б"  ПС 220/110 кВ "Шелехово". </t>
  </si>
  <si>
    <t>Заказчик: ОАО «Иркутская электросетевая компания»                                                       664033, г. Иркутск, ул. Лермонтова 257,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</si>
  <si>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Строительно-монтажные  и пусконаладочные  работы по объекту: "Реконструкция ПС 110/35/10 кВ "Киренская" (сети связи)"</t>
  </si>
  <si>
    <t>Реконструкция системы оперативного постоянного тока Усть-Илимской ГЭС (строительно-монтажные  и пусконаладочные работы по замене оборудования и кабельных связей щита постоянного тока (ЩПТ) здания ГЭС)</t>
  </si>
  <si>
    <t>Монтаж и пусконаладочные  работы вторичного оборудования</t>
  </si>
  <si>
    <t>Работы по монтажу оборудования КРУЭ 220 кВ по титулу "КРУЭ 220 кВ Богучанской ГЭС"</t>
  </si>
  <si>
    <t>Мероприятия по ликвидации последствий аварии после падения крана БК-1000 Б  на объекте "Кабельная трасса от ТЭЦ-6 до РП-11": электромонтажные и пусконаладочные работы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</si>
  <si>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Черняков В.И</t>
  </si>
  <si>
    <t>Строительно-монтажные и наладочные работы по объекту: "Замена выключателя 220 кВ на элегазовый ПС 220/10/6 кВ "Бытовая" (2 шт).</t>
  </si>
  <si>
    <t>Заказчик: ОАО «Иркутская электросетевая компания»                                                      664033, г. Иркутск, ул. Лермонтова 257,        тел: (3952)792-459,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</si>
  <si>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Заказчик: ОАО «Иркутскэнерго»
664025, г. Иркутск, ул. Сухэ-Батора,3
Генеральный директор Федоров Е.В. 
Филиал ОАО "Иркутскэнерго" 
Усть-Илимская ГЭС
666683, г. Усть-Илимск, Иркутской обл.,            а/я 958, тел. (39535) 95 859, 95 736
Директор филиала Кузнецов С.В.</t>
  </si>
  <si>
    <t>Заказчик: ОАО «Иркутская электросетевая компания»                                                     664033, г. Иркутск, ул. Лермонтова 257,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Лапшаков В.А.</t>
  </si>
  <si>
    <t>Комплекс работ по объекту: "Строительство ПС 27,5/6 кВ "Шестаково" с отходящей ВЛ-6 кВ"</t>
  </si>
  <si>
    <t>Заказчик: ОАО «Иркутскэнерго»
664025, г. Иркутск, ул. Сухэ-Батора,3
Генеральный директор Федоров Е.В. 
Филиал ОАО "Иркутскэнерго" 
Усть-Илимская ГЭС
666683, г. Усть-Илимск, Иркутской обл.,         а/я 958, тел. (39535) 95 859, 95 736
Директор филиала Кузнецов С.В.</t>
  </si>
  <si>
    <t xml:space="preserve">ПС 35/6 кВ Новый Невон,
п. Невон, Усть-Илимский район, Иркутская область </t>
  </si>
  <si>
    <t>Заказчик: ОАО «Иркутская электросетевая компания»                                                        664033, г. Иркутск, ул. Лермонтова 257,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</si>
  <si>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Комплекс работ по объекту: "Реконструкция ПС 35/6 кВ "Новый Невон" и ВЛ-110 кВ", включающий в себя демонтаж сетей 0,4-10 кВ в п. Кеуль</t>
  </si>
  <si>
    <t>7 от 21.06.2012      6 от 18.07.2012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</si>
  <si>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Южные электрические сети            664056, г. Иркутск, ул. Безбокова, 38
тел./факс.: (3952) 793-203
Директор филиала Черняков В.И.  </t>
  </si>
  <si>
    <t>Заказчик: ОАО «Иркутскэнерго»
664025, г. Иркутск, ул. Сухэ-Батора,3
Генеральный директор Федоров Е.В. 
Филиал ОАО "Иркутскэнерго" Братская ГЭС
665709, г. Братск, а/я 783
тел. 323 359, факс (3953)323 367
Директор филиала Вотенев А.А.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</si>
  <si>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Гордеев А.П.</t>
  </si>
  <si>
    <t xml:space="preserve">Строительно-монтажные и пусконаладочные  работы по титулу: "Замена аккумуляторных батарей" в составе "ПС 220 кВ "Правобережная" </t>
  </si>
  <si>
    <t>Монтаж оборудования КРУЭ,КПП 1, ГПП</t>
  </si>
  <si>
    <t xml:space="preserve">ПС 500 кВ Тайшет,               г.Тайшет Иркутская область
</t>
  </si>
  <si>
    <t xml:space="preserve">Строительно-монтажные, пусконаладочные  работы и поставка оборудования по объекту капитального строительства "Замена  масляных выключателей МВ-110 типа МКП-110 на элегазовые выключатели  типа 3АР1 DT  в открытом распределительном устройстве 110 кВ ПС 500 кВ Тайшет" </t>
  </si>
  <si>
    <t>Заказчик: ОАО «Иркутская электросетевая компания»                                                        664033, г. Иркутск, ул. Лермонтова 257,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 
Директор филиала Лапшаков В.А.</t>
  </si>
  <si>
    <t>Электромонтажные, пусконаладочные работы и монтаж технологического оборудования Цеха ремонта и чистки ковшей (ЦРЧК)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</si>
  <si>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
Директор филиала Вотенев  А.А.</t>
  </si>
  <si>
    <t>Заказчик: ОАО «Иркутскэнерго»
664025, г. Иркутск, ул. Сухэ-Батора, 3
Генеральный директор Федоров Е.В. 
Филиал ОАО "Иркутскэнерго" 
Усть-Илимская ГЭС
666683, г. Усть-Илимск, Иркутской обл.,         а/я 958, тел. (39535) 95 859, 95 736
Директор филиала Кузнецов С.В.</t>
  </si>
  <si>
    <t>Заказчик: ОАО «Иркутская электросетевая компания»                                                      664033, г. Иркутск, ул. Лермонтова 257,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Лапшаков В.А.</t>
  </si>
  <si>
    <t>Строительно-монтажные и пуско-наладочные работы по объекту филиала ОАО "Иркутскэнерго" Братская ГЭС  "Реконструкция сети постоянного тока машинного зала здания ГЭС. III пусковой комплекс"</t>
  </si>
  <si>
    <t>Работы по аварийно-восстановительному ремонту (АВР) блочного трансформатора Т2 типа ТЦ 400000/500 УХЛ1</t>
  </si>
  <si>
    <t>Заказчик: ОАО «Богучанская ГЭС»  
663491, г. Кодинск, стройбаза левого берега,   зд. 1, объединённая база №1, а/я 132 
тел. (39143) 3-10-00, 7-13-96
Генеральный директор Терешков Н.Н.</t>
  </si>
  <si>
    <t>Заказчик: ОАО «Иркутская электросетевая компания»                                                        664033, г. Иркутск, ул. Лермонтова 257,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Лапшаков В.А.</t>
  </si>
  <si>
    <t>Строительно-монтажные  и пусконаладочные  работы по объекту: "Реконструкция ПС 110/35/10 кВ "Киренская"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</si>
  <si>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Восточные электрические сети 664047, Иркутская область, г. Иркутск, ул. Депутатская, д.38, тел./факс.: 8(395-2)794-859
Директор филиала Садохин А.И.                 </t>
  </si>
  <si>
    <t>Строительно-монтажные и пусконаладочные  работы по реконструкции объекта ПС 35/10 кВ Черноруд  (перевод на напряжение 110 кВ) по первому пусковому комплексу</t>
  </si>
  <si>
    <t>Заказчик: ОАО «Иркутскэнерго»
664025, г. Иркутск, ул. Сухэ-Батора,3
Генеральный директор Причко О.Н. 
Филиал ОАО "Иркутскэнерго" 
Усть-Илимская ГЭС
666683, г. Усть-Илимск, Иркутской обл.,        а/я 958, тел. (39535) 95 859, 95 736
Директор филиала Кузнецов С.В.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</si>
  <si>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Восточные электрические сети
664047, Иркутская область, г. Иркутск, ул. Депутатская, д.38, тел./факс.: 8(395-2)794-859 Директор филиала Садохин А.И.   </t>
  </si>
  <si>
    <t xml:space="preserve">Строительство объекта  "под ключ":
"ПС 110/10 кВ Покровская с ВЛ 110 кВ в габаритах 220 кВ"
</t>
  </si>
  <si>
    <t>Заказчик: ОАО «Иркутская электросетевая компания»                                                     664033, г. Иркутск, ул. Лермонтова 257,        тел: (3952)792-459,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Лапшаков В.А.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</si>
  <si>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 
Директор филиала Вотенев  А.А.
Генподрядчик: ООО "НПФ "Ракурс"
198095, г. Санкт-Петербург, 
Химический пер., д.1 корп.2 
тел. (812) 252 32 44, 252 64 79
Генеральный директор Чернигов Л.М.
</t>
  </si>
  <si>
    <t>Заказчик: ОАО «Иркутскэнерго»
664025, г. Иркутск, ул. Сухэ-Батора,3
Генеральный директор Причко О.Н. 
Филиал ОАО "Иркутскэнерго" 
Усть-Илимская ГЭС
666683, г. Усть-Илимск, Иркутской обл.,         а/я 958, тел. (39535) 95 859, 95 736
Директор филиала Кузнецов С.В.</t>
  </si>
  <si>
    <t>Строительно-монтажные  и пусконаладочные работы по объекту филиала ОАО "Иркутскэнерго" Усть-Илимская ГЭС "Модернизация электрооборудования козлового крана зав.№1 рег.№152"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</si>
  <si>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</si>
  <si>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>Работы по Объекту филиала ОАО «Иркутскэнерго» Братская ГЭС 
«Комплексная система управления ГА для участия в АВРЧМ»
 (ГА 1,2,5,6,7,8,9,11,13,14,15,18)</t>
  </si>
  <si>
    <t>Котельная каркасного типа №2 
г. Елизово, Камчатский край</t>
  </si>
  <si>
    <t>Реконструкция котельной №2 г.Елизово со строительством дополнительного газового энергоблока каркасного типа с блочным расположением оборудования с передачей нагрузок котельных №1 и №3. Первый пусковой комплекс</t>
  </si>
  <si>
    <t>Заказчик: ОАО «Иркутская электросетевая компания»                                                        664033, г. Иркутск, ул. Лермонтова 257,              тел: (3952)792-459,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Лапшаков В.А.</t>
  </si>
  <si>
    <t>Заказчик: ОАО "Камчатскэнерго" 
683000 г. Петропавловск-Камчатский 
ул. Набережная 10                    
тел: (4152) 421006, факс: (4152) 412026
Генеральный директор Кондратьев С.Б.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</si>
  <si>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    Директор Шалак Г.Н.</t>
  </si>
  <si>
    <t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   Директор Шалак Г.Н.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</si>
  <si>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 тел. (3953) 323 359, факс  323 367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</si>
  <si>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1Г, ЭГР 2Г)
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</si>
  <si>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 
Директор филиала Вотенев  А.А.
Генподрядчик: ООО "НПФ "Ракурс"
198095, г. Санкт-Петербург, 
Химический пер., д.1 корп.2 
тел. (812)252 32 44, 252 64 79
Генеральный директор Чернигов Л.М.
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</si>
  <si>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18Г)
</t>
  </si>
  <si>
    <t>Братский Алюминиевый Завод
г. Братск, Иркутская область</t>
  </si>
  <si>
    <t>Заказчик: ОАО "Камчатскэнерго" 
683000 г. Петропавловск-Камчатский 
ул. Набережная 10                                              тел: (4152) 421006, факс: (4152) 412026
Генеральный директор Кондратьев С.Б.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</si>
  <si>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
Директор филиала Вотенев  А.А.
Генподрядчик: ООО "НПФ "Ракурс"
198095, г. Санкт-Петербург, 
Химический пер., д.1 корп.2 
тел. (812)252 32 44, 252 64 79
Генеральный директор Чернигов Л.М.
</t>
  </si>
  <si>
    <t xml:space="preserve"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 тел. 323 359, факс (3953)323 367
Директор филиала Вотенев  А.А.
Генподрядчик: ООО "НПФ "Ракурс"
198095, г. Санкт-Петербург, 
Химический пер., д.1 корп.2 
тел. (812)252 32 44, 252 64 79
Генеральный директор Чернигов Л.М.
</t>
  </si>
  <si>
    <t>Заказчик: ОАО «Богучанская ГЭС» в лице ЗАО «Организатор строительства Богучанской ГЭС» 663491, г. Кодинск, стройбаза левого берега. зд. 1, объединённая база №1, а/я 29,           тел.(39143)7-13-40, факс (39143) 7-13-39 
Генеральный директор Волков И.А.</t>
  </si>
  <si>
    <t>Заказчик: ОАО «Иркутская электросетевая компания»                                                              664033, г. Иркутск, ул. Лермонтова 257,            тел: (3952) 792-459, факс: (3952) 792-461 Генеральный директор Каратаев Б.Н.       Филиал ОАО «Иркутская электросетевая компания» Центральные электрические сети 665709, г.Ангарск, 2-я улица Хмельницкого, 22,  тел. 8(3955)502740                                              Директор филиала  Старцев М.В.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</si>
  <si>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     Директор Шалак Г.Н.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</si>
  <si>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   Директор Шалак Г.Н.</t>
  </si>
  <si>
    <t>Прокладка кабеля, монтаж троллеев, монтаж распределительных пунктов, установка осветительных приборов, пусконаладочные работы (Склад "зеленых" и обожжённых анодов)</t>
  </si>
  <si>
    <t>Заказчик: ОАО «Иркутская электросетевая компания»                                                            664033, г. Иркутск, ул. Лермонтова 257,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Ковалев П.В.</t>
  </si>
  <si>
    <t xml:space="preserve">Комплекс работ  по объекту:
"Реконструкция ПС 220 кВ "БЦБК" (РЗА, ЩПТ, ЩСН)
</t>
  </si>
  <si>
    <t>Комплектация оборудования и материалов, строительно-монтажные и пусконаладочные работы ПС 35/10 кВ Морозная по титулу:  "Реконструкция инфраструктуры лыжного и горнолыжного комплекса Камчатского края. Горнолыжная база "Морозная" г. Елизово"</t>
  </si>
  <si>
    <t>Заказчик: ОАО «Иркутская электросетевая компания»                                                             664033, г. Иркутск, ул. Лермонтова 257,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Ковалев П.В.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</si>
  <si>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</si>
  <si>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ССМД 1Г с верхним уровнем)
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</si>
  <si>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
тел. 323 359, факс (3953)323 367 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</t>
  </si>
  <si>
    <t xml:space="preserve">Работы по объекту филиала ОАО "Иркутскэнерго" Братская ГЭС "Комплексная система управления ГА для участия в АВРЧМ" (Строительно-монтажные 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14Г).
</t>
  </si>
  <si>
    <t xml:space="preserve">Комплекс работ по объекту филиала ОАО «Иркутскэнерго» Братская ГЭС: «Модернизация маслоподпитывающих установок кабельных линий МВДТ-220 Братской ГЭС Этап № 1» 
</t>
  </si>
  <si>
    <t>Заказчик: ОАО «Иркутскэнерго»
664025, г. Иркутск, ул. Сухэ-Батора,3
Генеральный директор  Федоров Е.В. 
Филиал ОАО "Иркутскэнерго" Братская ГЭС
665709, г. Братск, а/я 783
тел. 323 359, факс (3953) 323 367
Директор филиала Вотенев  А.А.
Подрядчик: ООО "Инженерный центр "Иркутскэнерго",
г. Иркутск, б-р Рябикова 67, 
тел. (3952) 790-711, факс (3952) 790-742 
Директор Моисеев Т.В.</t>
  </si>
  <si>
    <t>Заказчик: ОАО «Иркутскэнерго»
664025, г. Иркутск, ул. Сухэ-Батора,3
Генеральный директор Причко О.Н.
Филиал ОАО "Иркутскэнерго" Иркутская ГЭС 
664056, г. Иркутск, Иркутская ГЭС, а/я 3408
тел.: (3952)793-859, факс:  (3952) 793-856
Директор филиала Алдошин И.Н.</t>
  </si>
  <si>
    <t xml:space="preserve">Строительно-монтажные  и пусконаладочные  работы на объекте филиала ОАО "Иркутскэнерго" Иркутская ГЭС: "Реконструкция электрооборудования козловых кранов ВБ и НБ, мостового крана гидроподъемников" II пусковой комплекс 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</si>
  <si>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Директор Шалак Г.Н.</t>
  </si>
  <si>
    <t>Заказчик: МАУК «ТКЦ Братск-АРТ»
665729, Иркутская область, г. Братск,
ж/р Центральный, пр. Ленина, д.28
Директор Смолина С.А.</t>
  </si>
  <si>
    <t>Заказчик: ОАО «Иркутскэнерго»
664025, г. Иркутск, ул. Сухэ-Батора,3
Генеральный директор  Федоров Е.В. 
Филиал ОАО "Иркутскэнерго" Братская ГЭС
665709, г. Братск, а/я 783
тел. 323 359, факс (3953)323 367 
Директор филиала Вотенев  А.А.
Подрядчик ООО "Инженерный центр "Иркутскэнерго",
г. Иркутск, б-р Рябикова 67, 
тел. (3952) 790-711, факс (3952) 790-742 
Директор Моисеев Т.В.</t>
  </si>
  <si>
    <t>Работы по Объекту филиала ОАО "Иркутскэнерго" Братская ГЭС "Комплексная система управления ГА для участия в АВРЧМ" (строительно-монтажные работы следующих комплексов: Терминал АРЧМ, ГРАРМ с верхним уровнем, ЭГР 5Г, ПТК ССМД 5Г с верхним уровнем, ЭГР 11Г, ССМД 11Г с верхним уровнем)</t>
  </si>
  <si>
    <t xml:space="preserve">Строительно-монтажные  и пусконаладочные  работы на объекте филиала ОАО "Иркутскэнерго" Иркутская ГЭС: "ЗРУ - 13,8 кВ. Замена выключателей ТСН 5Т-8Т2". 5-й, 6-й пусковой комплекс
</t>
  </si>
  <si>
    <t>ОАО «Иркутскэнерго»
664025, г. Иркутск, ул. Сухэ-Батора,3
Генеральный директор Причко О.Н.
Филиал ОАО "Иркутскэнерго" Иркутская ГЭС 
664056, г. Иркутск, Иркутская ГЭС, а/я 3408
тел.: (3952)793-859, факс: (3952)793-856
Директор филиала Алдошин И.Н.</t>
  </si>
  <si>
    <t>Заказчик: ЗАО «Братская электросетевая компания»
665710, Иркутская область,  г. Братск, ул.Дружбы,45 
Генеральный директор Кабаев С.И.</t>
  </si>
  <si>
    <t>Работы на объекте ЦЭС Хлорного производства:
- капитальный ремонт трансформатора ТРДЦН-80000 КВА 110/10/10кВ зав. №7 (инв. №36201040001597);
- капитальный ремонт выпрямительного агрегата ВАКВ 32000/600 (инв. №36201040017079);
- пусконаладочные работы по испытанию трансформатора, схемы управления защиты и автоматики ТРДЦН-80000 КВА 110/10/10кВ Т1 ГПП-3, трансформатора КВА-6 типа ТДНП 32000/10/04 кВ,  выпрямительного агрегата ВАКВ 32000/600</t>
  </si>
  <si>
    <t>Заказчик: ОАО «Иркутская электросетевая компания»                                                         664033, г. Иркутск, ул. Лермонтова 257, 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</t>
  </si>
  <si>
    <t>Строительно-монтажные и пусконаладочные работы по объекту Замена АБ и ВАЗП на ПС СЭС (ПС № 6)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</si>
  <si>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</si>
  <si>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</si>
  <si>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>Шелеховский Алюминиевый Завод, г. Шелехов, Иркутская область</t>
  </si>
  <si>
    <t>Заказчик: ООО "РУС-инжиниринг"
Филиал в г. Шелехов
666033, РФ, Иркутская область, г. Шелехов, ул. Индустриальная, 4
Руководитель филиала Мазуренко В.В.</t>
  </si>
  <si>
    <t>Общестроительные, монтажные и пусконаладочные работы при монтаже ячейки ELK-14 в КРУЭ 220 кВ для выпрямительного агрегата КВА-56 на КПП-4 ОАО «РУСАЛ Братск» филиал в г.Шелехов»</t>
  </si>
  <si>
    <t xml:space="preserve"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Директор Шалак Г.Н.                                </t>
  </si>
  <si>
    <t>Электромонтажные и пусконаладочные  работы  по переносу ящиков управления задвижками "Насосный агрегат №4" для реализации инвестиционного проекта: "Реконструкция насосной станции промышленных стоков №4 (НСП-4)"  ПВиИК</t>
  </si>
  <si>
    <t>Заказчик: ОАО «Иркутская электросетевая компания»                                                            664033, г. Иркутск, ул. Лермонтова 257,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
Генподрядчик:  ООО «ЕвроСибЭнерго-инжиниринг»
 664050,г. Иркутск, ул. Байкальская, д. 259
тел.: (3952) 794-683, факс: (3952) 794-546
Генеральный директор Колокольцев А.А.</t>
  </si>
  <si>
    <t>051 от 14.04.16           067 от 10.05.16    148/1 от 10.10.16</t>
  </si>
  <si>
    <t>Заказчик: ОАО «Иркутская электросетевая компания»                                                               664033, г. Иркутск, ул. Лермонтова 257,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
Генподрядчик: ООО «ЕвроСибЭнерго-инжиниринг»
 664050, г. Иркутск, ул. Байкальская, д. 259
тел.: (3952) 794-683, факс: (3952) 794-546
Генеральный директор Юшманов В.П.</t>
  </si>
  <si>
    <t xml:space="preserve">Выполнение комплекса работ по объекту: "Расширение ОРУ-220 кВ БПП-500 с установкой двух дополнительных ячеек 220 кВ" 
</t>
  </si>
  <si>
    <t>Заказчик: ОАО «Иркутская электросетевая компания»                                                             664033, г. Иркутск, ул. Лермонтова 257,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
Генподрядчик:  ООО «ЕвроСибЭнерго-инжиниринг»
 664050,г. Иркутск, ул. Байкальская, д. 259
тел.: (3952) 794-683, факс: (3952) 794-546
Генеральный директор Юшманов В.П.</t>
  </si>
  <si>
    <t>Заказчик: ОАО «Иркутская электросетевая компания»                                                              664033, г. Иркутск, ул. Лермонтова 257,                    тел: (3952) 792-459, факс: (3952) 792-461 
Генеральный директор Каратаев Б.Н.
Подрядчик: ЗАО "ГК "Электрощит"-ТМ Самара"
443048, г. Самара, пос. Красная Глинка, корпус заводоуправления ОАО "Электрощит"
т.(846) 273-38-49                                                     Президент: Бриссе Э.Б.</t>
  </si>
  <si>
    <t>Работы по объекту филиала ПАО "Иркутскэнерго" Братская ГЭС "Комплексная система управления ГА для участия в АВРЧМ" (строительно-монтажные работы следующих комплексов: Терминал АВРЧМ, ГРАРМ с нижнем уровнем, ЭГР 6Г, ПТК ССМД 6Г с верхним уровнем)</t>
  </si>
  <si>
    <t>Заказчик: ПАО «Иркутскэнерго»
664025, г. Иркутск, ул. Сухэ-Батора,3
Генеральный директор Причко О.Н. 
Филиал ОАО "Иркутскэнерго" Братская ГЭС
665709, г. Братск, а/я783
тел. 323 359, факс (3953)323 367
Директор филиала Вотенев  А.А.
Подрядчик: ООО "Инженерный центр "Иркутскэнерго"
г. Иркутск, б-р Рябикова 67, 
тел. (3952) 790-711, факс (3952) 790-742 
Директор Моисеев Т.В.</t>
  </si>
  <si>
    <t>Заказчик: ПАО «Иркутскэнерго»
664025, г. Иркутск, ул. Сухэ-Батора,3
Генеральный директор  Причко О.Н.
Филиал ПАО "Иркутскэнерго" Братская ГЭС
665709, г. Братск, а/я783
тел. 323 359, факс (3953)323 367
Директор филиала Вотенев  А.А.
Подрядчик: ООО "Инженерный центр "Иркутскэнерго"
г. Иркутск, б-р Рябикова 67, 
тел. (3952) 790-711, факс (3952) 790-742 
Директор Моисеев Т.В.</t>
  </si>
  <si>
    <t xml:space="preserve">Строительно-монтажные и пуско-наладочные работы по объекту филиала ПАО «Кубаньэнерго» Краснодарские электрические сети: «Реконструкция ПС 110 кВ «Северо-Восточная». Установка Т-3 мощностью 40 МВА» в объеме реконструкции 57 существующих и 23 вновь устанавливаемых ячеек 6-10 кВ 
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</si>
  <si>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Генеральный директор Юшманов А.В.</t>
  </si>
  <si>
    <t>Электромонтажные работы и монтаж электроосвещения, пусконаладочные работы по объекту: склад смонтированных  анодов и огарков в осях 1…28.</t>
  </si>
  <si>
    <t>Устройство временной кабельной трассы для переноса БКТП МНС из зоны строительства вакуум-выпарной установки №8 (ВВУ №8) по проекту 9056-2-25-АС1; устройство кабельной трассы и фундамента под  БКТП МНС по проекту 9056-2-25-АС2; электромонтажные работы по выносу БКТП МНС из зоны строительства ВВУ №8 по проекту 9056-2-25-ЭС2; ПНР по выносу  БКТП МНС из зоны строительства ВВУ №8 по проектам 9056-2-25-ЭС1, 9056-2-25-ЭС2</t>
  </si>
  <si>
    <t>Заказчик: ОАО «Иркутская электросетевая компания»                                                                     664033, г. Иркутск, ул. Лермонтова 257,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</t>
  </si>
  <si>
    <t>Монтажные и пусконаладочные работы по объекту «ПС 500 кВ «Усть-Кут», с заходами 500 кВ и 220 кВ». Реконструкция РЗА ПС «Лена»  с поставкой оборудования.</t>
  </si>
  <si>
    <t xml:space="preserve">Строительно-монтажные и пусконаладочные работы по объекту: «ПС 500/220/110/35/10/6  кВ "Иркутская". Реконструкция ПС "Иркутская" в связи с заменой трансформаторов тока 500 кВ ТТ-500 1В-10 на газонаполненные типа ТОГП-500 в составе объектов:
- ГПП-1 ОРУ-500 кВ 1В10 ;
- ГПП-1 ОРУ-500 кВ ячейка 1В10 »
</t>
  </si>
  <si>
    <t>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Гордеев А.П.</t>
  </si>
  <si>
    <t xml:space="preserve">Заказчик: ПАО "РУСАЛ Братский Алюминиевый Завод" 
(ПАО "РУСАЛ Братск")
665716, Иркутская область, г.Братск-16    Управляющий директор Зенкин Е.Ю.
</t>
  </si>
  <si>
    <t xml:space="preserve"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Генеральный директор Юшманов А.В. </t>
  </si>
  <si>
    <t xml:space="preserve">Заказчик: ПАО «МРСК Сибири»
660021, Красноярский край, г. Красноярск, 
ул. Бограда, 144а;                                     Генеральный директор Иванов В.В. </t>
  </si>
  <si>
    <t xml:space="preserve">Заказчик: ПАО «МРСК Сибири»
660021, Красноярский край, г. Красноярск, 
ул. Бограда, 144а;                                     Генеральный директор Иванов В.В. 
</t>
  </si>
  <si>
    <t>Строительство объекта «под ключ»: поставка оборудования, строительно-монтажные и пусконаладочные работы по объекту «Строительство ГПП 110/6 кВ АО «У-УАЗ» с реконструкцией воздушных ЛЭП для заходов 110 кВ и реконструкцией кабельных ЛЭП отходящих фидеров 6 кВ» </t>
  </si>
  <si>
    <t>Заказчик:МАУК «ТКЦ Братск-АРТ»
665729, Иркутская область, г. Братск,
ж/р Центральный, пр. Ленина, д.28
Директор Смолина С.А.</t>
  </si>
  <si>
    <t xml:space="preserve">99Д-40П-3014 от 09.01.2018     100Д-40П-3014 от 09.01.2018 </t>
  </si>
  <si>
    <t>ПНР по испытаниям автоматических выключателей, находящихся в электрощитовой, в буфете, на 1 и 2 этажах здания Братского медицинского колледжа                                                     ПНР по профилактическим измерениям сопротивления заземляющего устройства, находящегося в здании Братского медицинского колледжа</t>
  </si>
  <si>
    <t>Пусконаладочные работы по испытаниям автоматических выключателей и по профилактическим измерениям сопротивления заземляющего устройства</t>
  </si>
  <si>
    <t>Заказчик: ОАО «Иркутская электросетевая компания»                                                            664033, г. Иркутск, ул. Лермонтова 257,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</t>
  </si>
  <si>
    <t xml:space="preserve">Эксплуатационные испытания и замеры сопротивлений в электроустановках на следующих объектах:
Нежилое здание – учебно-тренировочная база, находящаяся по адресу: г. Братск, ул. Северный Артек, 3;                  Нежилое здание – спортзал, находящийся по адресу: г. Братск, ул. Комсомольская, 35.
</t>
  </si>
  <si>
    <t>Услуги по техническому  обслуживанию устройств РЗА и ПА оборудования ВЛ-579 и КВЛ-576 на ПС 500 кВ Озерная</t>
  </si>
  <si>
    <t xml:space="preserve">Комплекс электромонтажных работ по проекту «Техническое перевооружение отбелки (КЩО), Строительство новой кислородной станции» по адресу: филиал АО «Группа «Илим» в г. Усть-Илимске </t>
  </si>
  <si>
    <t xml:space="preserve">Строительно-монтажные, пусконаладочные работы по объекту: 
ПС-500/220/110/35/10/6 кВ "Иркутская". Замена МВ-220 ВЛ-210  на баковый элегазовый выключатель на ПС «Иркутская» </t>
  </si>
  <si>
    <r>
      <t xml:space="preserve"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Директор Проскурин А.Г.
</t>
    </r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</si>
  <si>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                                                                              Директор Проскурин А.Г.</t>
  </si>
  <si>
    <t xml:space="preserve">Седановский переключательный пункт 220/6 кВ (СПП 220/6 кВ),      п. Седаново, Братский район, Иркутская область     
</t>
  </si>
  <si>
    <t xml:space="preserve">Седановский переключательный пункт 220/6 кВ (СПП 220/6 кВ),      п. Седаново, Братский район, Иркутская область     </t>
  </si>
  <si>
    <t>Электромонтажные, пусконаладочные работы кабельной трассы 6 кВ от ГРУ ТЭС-3 до РП-9 с полной заменой металлоконструкций и кабельных линий на участке: от западной стороны здания ТЭС-3 - северная сторона ПХЦ - здание насосной станции №4 (НСП-4)</t>
  </si>
  <si>
    <t xml:space="preserve">Строительно-монтажные, пусконаладочные работы по объекту: 
"ПС 500/220/110/35/10/6 кВ "Иркутская" Реконструкция устройств РЗА при замене МВ-220  МСВ-1/3 и МСВ-4/6 на элегазовые" </t>
  </si>
  <si>
    <t>Строительно-монтажные, пусконаладочные работы по объекту: 
"ПС-500/220/110/35/10/6 кВ "Иркутская" Реконструкция устройств РЗА при замене МВ-220  МСВ-2/4 и МСВ-3/5 на элегазовые"</t>
  </si>
  <si>
    <t>Сроительно-монтажные и пусконаладочные работы по титулу: "Установка батарей статических конденсаторов на подстанциях АО "Витимэнерго" Бодайбинского энергорайона" ( ПС 220 кВ "Мамакан" 
ПС 110 кВ "Перевоз")</t>
  </si>
  <si>
    <t>Работы по прогрузке автоматических выключателей (в объеме 74 шт.)  КТЦ ПРиЭ (Система электроснабжения СРК-3000 ст. № 14, электрофильтр СРК -3000 ст. № 14, трансформатор ТСЗ 1000/6-0,4, трансформатор ТСЗ 1000/6-0,4)</t>
  </si>
  <si>
    <t>Заказчик: ОАО «Иркутская электросетевая компания»                                                       664033, г. Иркутск, ул. Лермонтова 257,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</t>
  </si>
  <si>
    <t>Строительно-монтажные и пусконаладочные работы по объекту: «Замена ТН 110-500 кВ» (ПС Заводская)</t>
  </si>
  <si>
    <t>Заказчик: ОАО «Иркутская электросетевая компания»                                                      664033, г. Иркутск, ул. Лермонтова 257,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Ковалев П.В.</t>
  </si>
  <si>
    <t>Строительно-монтажные и пусконаладочные работы по объекту: «Замена ТН 110-500 кВ» (ПС Коршуниха)</t>
  </si>
  <si>
    <t>Комплекс электромонтажных, строительных и пусконаладочных работ по проекту "Техническое перевооружение содорегенерационного котла СРК-1400 ст. № 3"</t>
  </si>
  <si>
    <t xml:space="preserve">ПС 220 кВ Томмот,
п. Томмот, Республика Саха (Якутия) 
</t>
  </si>
  <si>
    <t>Выполнение  пусконаладочных и электромонтажных работ на ПС 220 кВ Томмот</t>
  </si>
  <si>
    <t>Выполнение СМР, ПНР по объектам: "ПС 500/220/110/35/10/6 кВ "Иркутская" Замена МВ-220 АТ-5 на элегазовые" и "ПС 500/220/110/35/10/6 кВ "Иркутская" Замена МВ-220 ШСВ-1 на элегазовые" в объёме реконструкции объектов:
- "ГПП-1 ОРУ-220 КВ ЯЧЕЙКА ШСВ-1", 
- "ГПП-1 ОРУ-220 ЯЧЕЙКА ЛЭП-210 ДРАГМЕТАЛЛ",
-"ОРУ-220 КВ ГПП-1 ЯЧЕЙКА АТ-5"</t>
  </si>
  <si>
    <t>СМР и ПНР по объекту: 
"ПС 500/220/110/35/10/6 кВ "Иркутская" Замена МВ 110 Бл 5, МВ-110 Бл 6 на элегазовые"</t>
  </si>
  <si>
    <t>12/19-СП от 10.07.2019</t>
  </si>
  <si>
    <t xml:space="preserve">9-10/2019 от 19.08.2019 </t>
  </si>
  <si>
    <t>Заказчик: ОАО «Иркутская электросетевая компания»                                                          664033, г. Иркутск, ул. Лермонтова 257,              тел: (3952) 792-459, факс: (3952) 792-461 
Генеральный директор Новиков Е.А.
Филиал ОАО «Иркутская электросетевая компания» Северные электрические сети
665709, Иркутская область, г. Братск, а/я 786 
тел. (3953) 33-17-27
Директор филиала Ковалев П.В.</t>
  </si>
  <si>
    <t xml:space="preserve">СМР и ПНР по объекту: ПС 500 кВ Иркутская. Замена масляного выключателя 220 кВ ШСВ-2 на элегазовый", в составе объектов основных средств: «ГПП-1 ОРУ-220 КВ ЯЧЕЙКА ШСВ-2» </t>
  </si>
  <si>
    <t>Электромонтажные и пусконаладочные работы учебно-исследовательской трансформаторной подстанции БрГУ для нужд КУИЦ «Энергетика» БрГУ»</t>
  </si>
  <si>
    <r>
      <t>Техническое перевооружение маслонаполненной кабельной линии 220 кВ 14ГТ с заменой кабеля МВДТ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на кабель с изоляцией из сшитого полиэтилена</t>
    </r>
  </si>
  <si>
    <t xml:space="preserve">Заказчик: Госкорпорация "Росатом"                       119017, Москва, ул. Большая Ордынка, 24
тел: (499) 949-4535                              Генеральный директор Лихачев А.Е                                              Подрядчик: АО «Группа «СВЭЛ»
620010, Свердловская область, г. Екатеринбург, ул. Черняховского, 61
тел.(343) 253-50-13
Директор департамента продаж масляных трансформаторов Певцов Д.И. </t>
  </si>
  <si>
    <t>Монтаж силового электрооборудования, устройство электроосвещения, общестроительные и пусконаладочные работы Корпуса электролиза № 1 с пристройками (в осях 1 - 100);   Соединительного коридора до литейного цеха;  Централизованной раздачи глинозема (ЦРГ); Воздуходувной №1 и №2;  Узлов загрузки технологических кранов Корпуса № 1; Западного соединительного коридора (в осях А-Г4); Корпуса электролиза №2 с пристройками (в осях 1 - 100); Трансбордерного соединительного коридора (в осях ОА-Г4);  Узлов загрузки технологических кранов корпуса №2, (№3)</t>
  </si>
  <si>
    <t xml:space="preserve">Заказчик: ОАО Сибирско-Уральская Алюминиевая Компания (ОАО "СУАЛ")
623406, Свердловская обл., г. Каменск-Уральский, ул.Заводская,10                                     Директор Соловьев В.А.
Филиал "ИркАЗ-СУАЛ" ОАО "СУАЛ"
666034, г. Шелехов ул. Индустриальная,4
тел. (39510) 9-42-13                                    Генеральный директор: Гринберг И.С. </t>
  </si>
  <si>
    <t>43/15 от 01.06.2015</t>
  </si>
  <si>
    <t>Заказчик: ЗАО "Богучанский Алюминиевый Завод"
663467, Красноярский край, Богучанский р-н, Промплощадка Богучанского алюминиевого завода                                                                        Директор Шалак Г.Н
Генподрядчик: ООО "Альстом Грид-Русал электроинжиниринг"               
620017, г. Екатеринбург, пр. Космонавтов, 7                           тел. (343) 310 13 42              
Генеральный директор Ф.Пешу</t>
  </si>
  <si>
    <t>АТП 110/27,5 кВ 909 км, 
909 км. ВСЖД, Иркутская область</t>
  </si>
  <si>
    <t>ТП 110/27,5 кВ Кежемская,
п. Кежемский, Братский район, Иркутская область</t>
  </si>
  <si>
    <t>ТП 110/27,5 кВ Коршуниха 
г.Железногорск, Нижнеилимский район, Иркутская область</t>
  </si>
  <si>
    <t>ТП 110/27,5 кВ Чукша,             п.Чукша, Чункий район, Иркутская область</t>
  </si>
  <si>
    <t>ТП 110/27,5 кВ Черная,                 п.Черная, Нижнеилимский район, Иркутская область</t>
  </si>
  <si>
    <t>ТП 110/27,5 кВ Новочунка,                   п. Новочунка, Чунский район, Иркутская область</t>
  </si>
  <si>
    <t xml:space="preserve">ТП 110/27,5 кВ Невельская, Тайшетский район, Иркутская область </t>
  </si>
  <si>
    <t>ТП 110/27,5 кВ Ния-Звездная,    перегон Ирдыкан-Ния ВСЖД, Усть-Кутский район, Иркутская область</t>
  </si>
  <si>
    <t>ТП 220/110/27,5 кВ Якурим,             г.Усть-Кут, Иркутская область</t>
  </si>
  <si>
    <t>ТП 110/27,5 кВ Семигорск,                   п.Семигорск, Нижнеилимский район, Иркутская область</t>
  </si>
  <si>
    <t>ТП 110/27,5 кВ Зяба,                                  Братский район, Иркутская область</t>
  </si>
  <si>
    <t>ТП 110/27,5 кВ Черная 
п.Черная, Нижнеилимский район, Иркутская область</t>
  </si>
  <si>
    <t xml:space="preserve">Заказчик: ОАО «РЖД»
107174, Москва, Новая Басманная ул., д. 2 Генеральный директор – председатель правления ОАО "РЖД" Белозёров О.В. 
Ген.подрядчик: ООО "Объединенная строительная компания 1520" (ОСК 1520)
105082, г.Москва, Переведеновский пер.,д.13, стр.5, тел.:8(495)679-82-36                            Генеральный директор Антонцев А.С.
Подрядчик: ООО РТМ «Трансформатор»
664043, Иркутская обл., г. Иркутск,                               ул. Сергеева, д.3
Генеральный директор Сковитин А.В.
</t>
  </si>
  <si>
    <t xml:space="preserve">Заказчик: ОАО «Богучанская ГЭС»  
663491, г. Кодинск, стройбаза левого берега. Зд. 1, объединённая база №1 а/я 132 
тел.(39143) 3-10-00, 7-13-96
Генеральный директор Демченко В.В.   Подрядчикк: ООО «КраМЗ-Авто»
660111, г. Красноярск, ул. Пограничников 37А
Директор Крупицкий А.В. </t>
  </si>
  <si>
    <t>Заказчик: 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Иркутская область,            а/я 958, тел. (39535) 95 859, 95 736
Директор филиала Кузнецов С.В.</t>
  </si>
  <si>
    <t>Заказчик: ООО "ГРК "Быстринское"
672000, Забайкальский край, г. Чита, ул. Лермонтова, д. 2                                              Генеральный директор Попов А.Н.
Генподрядчик: ООО "Востокгеология"
672003, г. Чита, ул.Трактовая, 35б, стр. 9,
Генеральный директор Шевчук Г.А.
Подрядчик: АО "РОСТ-С"
119019, г Москва, бульвар Никитский, дом 12, пом.3
Генеральный директор  Текеев А.А.
Субподрядчик: АО "Энергетические технологии"
664033, г. Иркутск, ул. Лермонтова, 130,             оф. 110, тел.: (3952) 423-523
Генеральный директор Черных О.Г.</t>
  </si>
  <si>
    <t>Заказчик: ПАО "Кубаньэнерго" 
350033, г. Краснодар, ул. Ставропольская, 2
тел. (8612) 68-59-13, (861) 268-59-13 Генеральный директор Сергеев С.В.
Подрядчик: ООО "СК "Регионспецмонтаж" 
344018, г. Ростов-на-Дону,                                         пр. Буденновский, д. 80, офис 507
тел: 8 (863)-268-93-86  
Управляющий директор Прохоров М.А.</t>
  </si>
  <si>
    <t>Заказчик: ОАО «Иркутская электросетевая компания»
664033, г. Иркутск, ул. Лермонтова 257,         тел: (3952) 792-459, факс: (3952) 792-461
Генеральный директор  Каратаев Б.Н.
Филиал ОАО «Иркутская электросетевая компания» Западные электрические сети 
665253 г.Тулун, пер.Энергетиков 6. 
Директор филиала Коваленко Э.А.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</si>
  <si>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Директор филиала Паньшин А.В.</t>
  </si>
  <si>
    <t xml:space="preserve">Заказчик: КГКУ «Дирекция по комплексному развитию Нижнего Приангарья» (КГКУ «ДКР НП»)
660017, г. Красноярск, ул. Урицкого, д. 123,    тел. (391) 227-81-31 факс: (391)227-81-53 
Директор Васильев Ю.П.  </t>
  </si>
  <si>
    <t>Заказчик: АО "У-УАЗ" (Улан-Удэнский авиационный завод)
Республика Бурятия, г. Улан-Удэ,                                ул. Хоринская 1
Управляющий директор  Белых Л.Я.</t>
  </si>
  <si>
    <t xml:space="preserve">Заказчик: Областное государственное бюджетное профессиональное образовательное учреждение "Братский медицинский колледж" (ОГБПОУ БМК)
665724, Иркутская область,  г. Братск,                       ул. Комсомольская, д. 75 
Директор Котова И.В. 
</t>
  </si>
  <si>
    <t>Заказчик: ОАО «Иркутская электросетевая компания»                                                                   664033, г. Иркутск, ул. Лермонтова 257, 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 
Директор филиала Ковалев П.В.</t>
  </si>
  <si>
    <t>Заказчик: Областное государственное бюджетное учреждение «Спортивная школа олимпийского резерва «Спартак» (ОГБУ СШОР «Спартак»)                                        Директор Егоров Н.А.</t>
  </si>
  <si>
    <t>Заказчик: ПАО "Кубаньэнерго" 
350033, г. Краснодар, ул. Ставропольская, 2
тел.: 8 (8612) 68-59-13                                                    Генеральный директор Сергеев С.В.
Подрядчик: ООО "СК "Регионспецмонтаж" 
344018, г. Ростов-на-Дону, 
пр. Буденновский, д. 80, офис 507
тел: 8 (863)-268-93-86  
Управляющий Прохоров М.А.</t>
  </si>
  <si>
    <t>Заказчик: ООО "Соврудник"
Красноярский край, Северо-Енисейский район, посёлок городского типа Северо-Енисейский, ул.Набережная, 1, тел. (39-160) 21-1-22
Генеральный директор Гайнутдинов Р.И.</t>
  </si>
  <si>
    <t xml:space="preserve">Заказчик: ПАО «НЛМК» (Новолипецкий металлургический комбинат)
398040, г. Липецк, апл. Металлургов, 2
Управляющий директор  ФилатовС. В. 
Подрядчик: ООО «Камаэлектромонтаж»
94044, г. Санкт-Петербург, ул. Набережная Пироговская, д. 21, лит А, офис 54
Директор  Ребров А.Н.
</t>
  </si>
  <si>
    <t>Заказчик: ОАО «Иркутская электросетевая компания»
664033, г. Иркутск, ул. Лермонтова 257,                    тел: (3952) 792-459, факс: (3952) 792-461
Генеральный директор  Каратаев Б.Н.
Филиал ОАО «Иркутская электросетевая компания» Западные электрические сети 
66525,3 г.Тулун, пер.Энергетиков 6 
Директор филиала Коваленко Э.А.</t>
  </si>
  <si>
    <t>Заказчик: ОАО «Иркутская электросетевая компания»
664033, г. Иркутск, ул. Лермонтова 257,         тел: (3952) 792-459, факс: (3952) 792-461
Генеральный директор  Каратаев Б.Н.
Филиал ОАО «Иркутская электросетевая компания» Западные электрические сети 
665253, г.Тулун, пер.Энергетиков 6
Директор филиала Коваленко Э.А.</t>
  </si>
  <si>
    <t>Заказчик: АО "Тарынская золоторудная компания"                                                               678730, Оймяконский район, пгт Усть-Нера, ул.Ленина, 33, тел: (41154) 2-02-95  Генеральный директор Коротаев И.Г.               Подрядчик: ООО ФСК "САНТЭЛ"
664081, г. Иркутск, ул. Пискунова, 150/3 
т. 8(3952)733-143
Генеральный директор Матвиенко И.В.</t>
  </si>
  <si>
    <t>Заказчик: ПАО «Богучанская ГЭС»  
663491, г. Кодинск, стройбаза левого берега      зд. 1, объединённая база №1, а/я 132 
тел.(39143) 3-10-00, 7-13-96                                Генеральный директор Демченко В.В.
Подрядчик: ООО Фирма «Синтез Н» 
Красноярский край, г. Красноярск, 
ул. Взлетная 38 пом. 307                              Исполнительный директор Гальцова И.А.</t>
  </si>
  <si>
    <t xml:space="preserve">Заказчик: ЗАО "Богучанский Алюминиевый Завод"
663467, Красноярский край, Богучанский р-н, Промплощадка Богучанского алюминиевого завода                                                                            Директор Шалак Г.Н.  
Генподрядчик: АО "Теплохиммонтаж"
309515, Белгородская область г. Старый Оскол станция «Котел», Промузел, площадка «Монтажная», проезд Ш-6, строение №3 Генеральный директор Кузин И.Н.
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</si>
  <si>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</si>
  <si>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</si>
  <si>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Усть-Илимске                                                                               666684, Иркутская область, г. Усть-Илимск, промышленная площадка ЛПК
тел. (39535) 93195                                                       Директор по закупкам Стороженко С.А.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</si>
  <si>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Директор филиала Паньшин А.В.</t>
  </si>
  <si>
    <t xml:space="preserve">Заказчик: Филиал ПАО "РусГидро" -  Воткинская ГЭС                                                             617761, Пермский край, г.Чайковский,                               тел. (34241) 7 03 59                                                     Директор филиала Бяков А.Г.                                             
Подрядчик: ООО «Камаэлектромонтаж»
194044, г. Санкт-Петербург, ул. Набережная Пироговская, д. 21, лит А, офис 54
Директор Ребров А.Н. </t>
  </si>
  <si>
    <t>Заказчик: АО «Витимэнерго» 
666902, Иркутская область, г. Бодайбо, Подстанция, д. 4; тел.: 8 (39561) 56060 
Директор Машковский А.Р.
Генподрядчик: АО «Витимэнергострой»
664003, г Иркутск, ул. Ленина, 21
тел. 8(3952) 33-60-35
Генеральный директор Заиграев А.С.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</si>
  <si>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</si>
  <si>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Директор филиала Паньшин А.В.</t>
  </si>
  <si>
    <t>Заказчик: АО  Объединённая теплоэнергетическая компания (АО "ОТЭК")
119017, г. Москва, пер.Погорельский, д.7, ст.2 тел. 7 (495) 357-00-14                                               Генеральный директор Сухотина К.А.
Подрядчик: ООО «Амурэлектрощит»
675014, Амурская обл., г.Благовещенск, 
ул. Пионерская, 204
Директор Козлов В.В.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</si>
  <si>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</si>
  <si>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Усть-Илимске                                                                                    666684, Иркутская область, г. Усть-Илимск, промышленная площадка ЛПК
тел. (39535) 93196                                                Директор по закупкам Стороженко С.А.</t>
  </si>
  <si>
    <t>Заказчик: ОАО «Иркутская электросетевая компания»
664033, г. Иркутск, ул. Лермонтова 257,        тел: (3952) 792-459, факс: (3952) 792-461
Генеральный директор Каратаев Б.Н. 
Филиал ОАО «Иркутская электросетевая компания» Западные электрические сети 
665253 г.Тулун, пер.Энергетиков 6
Директор филиала Коваленко Э.А.</t>
  </si>
  <si>
    <t>Заказчик: ПАО "Кубаньэнерго" 
350033, г. Краснодар, ул. Ставропольская, 2
тел. 8 (8612) 68-59-13, 8 (861) 268-59-13 Генеральный директор Сергеев С.В.
Подрядчик: ООО "СК "Регионспецмонтаж" (ООО "СК "РСМ") 
344018, г. Ростов-на-Дону,                                пр.Буденновский, д. 80, офис 507
тел: 8(863)-268-93-86  
Управляющий директор Прохоров М.А.</t>
  </si>
  <si>
    <t>Заказчик: АО Объединённая теплоэнергетическая компания (АО "ОТЭК")
119017, г. Москва, пер.Погорельский, д.7, ст.2 тел. 7 (495) 357-00-14                                            Генеральный директор Сухотина К.А
Подрядчик: ООО «ЭКРА-Сибирь» 
660064, г. Красноярск, ул. Капитанская, 14, 
оф. 257
Генеральный директор  Мироненко А.М.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</si>
  <si>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       Директор филиала Паньшин А.В.</t>
  </si>
  <si>
    <t>Заказчик: ОАО «Иркутская электросетевая компания»                                                         664033, г. Иркутск, ул. Лермонтова 257,             тел: (3952) 792-459, факс: (3952) 792-461 
Генеральный директор Каратаев Б.Н.
Филиал ОАО «Иркутская электросетевая компания» Центральные электрические сети
665709, Иркутская область,  г. Ангарск,                            2-я улица Хмельницкого, 22, тел. 8(3955)502740
Директор филиала  Щёкин А.И.</t>
  </si>
  <si>
    <t>Заказчик: ООО "Байкальская горная компания"           674153, Забайкальский край, Каларский район, п.Удокан,  ул.Фабричная дом №1,                                  тел. (495)645-00-45                                                 Генеральный директор Рябов Ю.И.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</si>
  <si>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Директор филиала Паньшин А.В.</t>
  </si>
  <si>
    <t>Заказчик: ООО «Второй Ветропарк ФРВ» 123112,г. Москва, Пресненская набережная,   дом 10, эт 18 пом 2                                                      Генеральный директор Полякова В.И.
Генподрядчик: ЗАО «ГК «Электрощит» ТМ Самара»                                                                         443048, г. Самара, пос. Красная Глинка, корпус заводоуправления ОАО "Электрощит"
т.(846) 273-38-49                                                     Президент: Бриссе Э.Б.
Подрядчик: ООО "СК "Регионспецмонтаж" (ООО "СК "РСМ") 
344018, г. Ростов-на-Дону, пр.Буденновский,             д. 80, офис 507, тел: 8(863)-268-93-86  
Управляющий директор Прохоров М.А.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</si>
  <si>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Директор филиала Паньшин А.В.</t>
  </si>
  <si>
    <t>Заказчик: ОАО «Иркутская электросетевая компания»                                                          664033, г. Иркутск, ул. Лермонтова 257,              тел: (3952) 792-459, факс: (3952) 792-461 
Генеральный директор Новиков Е.А.
Филиал ОАО «Иркутская электросетевая компания» Центральные электрические сети
665709, Иркутская область, г. Ангарск,                              2-я улица Хмельницкого, 22,                                          тел. 8(3955) 502740
Директор филиала  Щёкин А.И.</t>
  </si>
  <si>
    <t>Заказчик: ОАО «Иркутская электросетевая компания»                                                        664033, г. Иркутск, ул. Лермонтова 257,                 тел: (3952) 792-459, факс: (3952) 792-461 
Генеральный директор Новиков Е.А.
Филиал ОАО «Иркутская электросетевая компания» Центральные электрические сети
665709, Иркутская область, г. Ангарск,                    2-я улица Хмельницкого, 22,                                                  тел. 8(3955) 502740
Директор филиала  Щёкин А.И.</t>
  </si>
  <si>
    <t>Заказчик: ОАО «Иркутская электросетевая компания»                                                         664033, г. Иркутск, ул. Лермонтова 257,            тел: (3952) 792-459, факс: (3952) 792-461 
Генеральный директор Новиков Е.А.
Филиал ОАО «Иркутская электросетевая компания» Центральные электрические сети
665709, Иркутская область,  г. Ангарск,                             2-я улица Хмельницкого, 22,                                                 тел. 8(3955) 502740
Директор филиала  Щёкин А.И.</t>
  </si>
  <si>
    <t xml:space="preserve">Заказчик: ПАО "ФСК ЕЭС"                                117630, г. Москва, ул. Академика Челомея, д.5А.,                                                                            Генеральный директор Ливинский П.А
Подрядчик: ООО СК «ВОСТОК»,
614036, Пермский край, г. Пермь, 
ул. Космонавта Беляева, д. 19, оф. 203 Генеральный директор Лукин А.Н.
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</si>
  <si>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    и.о. директора филиала Михеенко В.В.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</si>
  <si>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Директор филиала Ванчуков А.И.</t>
  </si>
  <si>
    <t>Заказчик: ОАО «Иркутская электросетевая компания»                                                           664033, г. Иркутск, ул. Лермонтова 257,            тел: (3952) 792-459, факс: (3952) 792-461 
Генеральный директор Новиков Е.А.
Филиал ОАО «Иркутская электросетевая компания» Центральные электрические сети
665709, Иркутская область, г. Ангарск,                        2-я улица Хмельницкого, 22,                                 тел. 8(3955) 502740
Директор филиала  Щёкин А.И.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</si>
  <si>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              и.о. директора филиала Михеенко В.В.</t>
  </si>
  <si>
    <t>Заказчик: ОАО «Богучанская ГЭС»                                     в лице ЗАО «Организатор строительства Богучанской ГЭС»                                             663491, г. Кодинск, стройбаза левого берега          зд. 1, объединённая база №1, а/я 29,        тел.(39143)7-13-40, факс (39143) 7-13-39 
Генеральный директор Упоров В.А.</t>
  </si>
  <si>
    <t>Заказчик: ОАО «Богучанская ГЭС»                                                           в лице ЗАО «Организатор строительства Богучанской ГЭС»                                           663491, г. Кодинск, стройбаза левого берега          зд. 1, объединённая база №1, а/я 29,             тел.(39143)7-13-40, факс (39143) 7-13-39 
Генеральный директор Упоров В.А.</t>
  </si>
  <si>
    <t>Заказчик: ОАО «Богучанская ГЭС»                                     в лице ЗАО «Организатор строительства Богучанской ГЭС»                                         663491, г. Кодинск, стройбаза левого берега            зд. 1, объединённая база №1, а/я 29, Тел.(39143)7-13-40, Факс (39143) 7-13-39 
Генеральный директор Упоров В.А.</t>
  </si>
  <si>
    <t>Заказчик: ОАО «Иркутскэнерго»
664025, г. Иркутск, ул. Сухэ-Батора,3
Генеральный директор Федоров Е.В. 
Филиал ОАО "Иркутскэнерго" 
Усть-Илимская ГЭС
666683, г. Усть-Илимск, Иркутской область,        а/я 958, тел. (39535) 95 859, 95 736
Директор филиала Кузнецов С.В.</t>
  </si>
  <si>
    <t>Заказчик: ОАО «Богучанская ГЭС»                                     в лице ЗАО «Организатор строительства Богучанской ГЭС»                                          663491, г. Кодинск, стройбаза левого берега   зд.1, объединённая база №1, а/я 29,                    тел.(39143)7-13-40, факс (39143) 7-13-39 
Генеральный директор Упоров В.А.</t>
  </si>
  <si>
    <t>Заказчик: ОАО «Иркутская электросетевая компания»
664033, г. Иркутск, ул. Лермонтова 257,        тел: (3952)792-459, факс: (3952) 792-461
Генеральный директор Б.Н. Каратаев
Филиал ОАО «Иркутская электросетевая компания» Западные электрические сети 
665253 г. Тулун, пер. Энергетиков 6
Директор филиала Терских Ю.Н.</t>
  </si>
  <si>
    <t>Заказчик: ОАО «Иркутскэнерго»
664025, г. Иркутск, ул. Сухэ-Батора,3
Генеральный директор Федоров Е.В.
Филиал ОАО "Иркутскэнерго" Ново-Иркутская ТЭЦ   
664043, Иркутская область, г. Иркутск, бульвар Рябикова, 67, тел.(395-2) 795-309
Директор филиала Матлашевский Ю.А.</t>
  </si>
  <si>
    <t xml:space="preserve">Заказчик: Филиал ОАО «ФСК ЕЭС»- МЭС Сибири.
660099, Красноярский край, Красноярск, ул. Ады Лебедевой, 117, тел. (391) 265-95-00 Генеральный директор Зильберман С.М.
Подрядчик: ООО «Элвест»
620137, г. Екатеринбург, ул. Студенческая, 1, корп.18, оф.208, тел.(343) 383-46-18
Генеральный директор Кочедыков М.В. 
</t>
  </si>
  <si>
    <t xml:space="preserve">Заказчик: ОАО «Иркутская электросетевая компания»
664033, г. Иркутск, ул. Лермонтова 257,
тел: (3952) 792-459
Генеральный директор Каратаев Б.Н.
Филиал ОАО «Иркутская электросетевая компания» Южные электрические сети
664056, г. Иркутск, ул. Безбокова, 38
тел./факс.: (3952) 793-203                         Директор филиала Гордеев А.П. 
Генподрядчик: ООО «ЕвроСибЭнерго-инжиниринг»  
664050,г. Иркутск, ул. Байкальская, д. 259
тел.: (3952) 794-683, факс: (3952) 794-546 Генеральный директор Шарабурак В.А.
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</si>
  <si>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Директор филиала Поздняков А.А.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</si>
  <si>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Директор филиала Поздняков А.А.</t>
  </si>
  <si>
    <t xml:space="preserve">Заказчик: Открытое акционерное общество "РУСАЛ Братский Алюминиевый Завод" 
(ОАО "РУСАЛ Братск")
665716, Иркутская область, г.Братск-16
тел. (3953) 49-26-50                                        Директор Волвенкин А.Ю.
</t>
  </si>
  <si>
    <t>Заказчик: ОАО «Богучанская ГЭС»  
663491, г. Кодинск, стройбаза левого берега,   зд. 1, объединённая база №1, а/я 132 
тел. (39143) 3-10-00, 7-13-96
Генеральный директор Терешков Н.Н. Подрядчик: ЗАО "Институт автоматизации энергетических систем"
630132, г. Новосибирск,                                                ул. Железнодорожная, 12/1,                                             тел. (383) 363-02-65
Генеральный директор: Ландман А.К.</t>
  </si>
  <si>
    <t>Заказчик: ОАО «Богучанская ГЭС» в лице ЗАО «Организатор строительства Богучанской ГЭС»                                                                                 663491, г. Кодинск, стройбаза левого берега          зд. 1, объединённая база №1, а/я 29,                         тел.(39143)7-13-40, факс (39143) 7-13-39 
Генеральный директор Волков И.А.</t>
  </si>
  <si>
    <t>Заказчик: ОАО «Богучанская ГЭС»  
663491, г. Кодинск, стройбаза левого берега     зд. 1, объединённая база №1 а/я 132 
тел.(39143) 3-10-00, 7-13-96
Генеральный директор Демченко В.В.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</si>
  <si>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Директор филиала Поздняков А.А.</t>
  </si>
  <si>
    <t>Заказчик: ОАО «Иркутская электросетевая компания»
664033, г. Иркутск, ул. Лермонтова 257,
тел: (3952) 792-459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Черняков  В.И.   
Подрядчик: АО "Энергетические технологии"
664033, г. Иркутск, ул. Лермонтова, 130,             оф. 110, тел.: (3952) 423-523
Генеральный директор Черных О.Г.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</si>
  <si>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Директор филиала Поздняков А.А.</t>
  </si>
  <si>
    <t xml:space="preserve">Заказчик: ОАО «РЖД»
107174, Москва, Новая Басманная ул., д. 2
Генеральный директор – председатель правления ОАО "РЖД" Белозёров О.В. 
Подрядчик: ООО "Объединенная строительная компания 1520" (ОСК 1520)
105082, г.Москва, Переведеновский пер., д.13, стр.5, тел.:8(495)679-82-36, ф.:8(495)679-82-37
Генеральный директор Антонцев А.С. 
</t>
  </si>
  <si>
    <t>Заказчик: ОАО «Богучанская ГЭС»  
663491, г. Кодинск, стройбаза левого берега             зд. 1, объединённая база №1 а/я 132 
тел.(39143) 3-10-00, 7-13-96
Генеральный директор Демченко В.В.</t>
  </si>
  <si>
    <t>Заказчик: ОАО «Богучанская ГЭС» в лице АО «Организатор строительства Богучанской ГЭС»                                                                        663491, г. Кодинск, стройбаза левого берега                                                                            зд. 1, объединённая база №1, а/я 29,                  тел.(39143)7-13-40, факс (39143) 7-13-39 
Генеральный директор Волков И.А.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</si>
  <si>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Директор филиала Паньшин А.В.</t>
  </si>
  <si>
    <t>Заказчик: ОАО «Богучанская ГЭС» в лице АО «Организатор строительства Богучанской ГЭС»                                                            663491, г. Кодинск, стройбаза левого берега                зд. 1, объединённая база №1, а/я 29,                       тел.(39143)7-13-40, факс (39143) 7-13-39 
Генеральный директор Волков И.А.</t>
  </si>
  <si>
    <t>Заказчик: ПАО «Иркутскэнерго»
664025, г. Иркутск, ул. Сухэ-Батора,3
Генеральный директор Причко О.Н.
Филиал ПАО "Иркутскэнерго" ТЭЦ-16
665651 Иркутская область, г. Железногорск-Илимский, а/я 18
тел.(39566) 2-61-59, (39566) 2-61-59
Директор филиала Черкасов С.И.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</si>
  <si>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Директор филиала Паньшин А.В.</t>
  </si>
  <si>
    <t>Заказчик: ОАО «Иркутская электросетевая компания»                                                     664033, г. Иркутск, ул. Лермонтова 257,           тел: (3952) 792-459, факс: (3952) 792-461 
Генеральный директор Каратаев Б.Н.
Филиал ОАО «Иркутская электросетевая компания» Центральные электрические сети
665709, Иркутская область, г. Ангарск,                          2-я улица Хмельницкого, 22, тел. 8(3955)502740   Директор филиала  Старцев М.В.
Генподрядчик:  ООО «ЕвроСибЭнерго-инжиниринг» 
664050,г. Иркутск, ул. Байкальская, д. 259
тел.: (3952) 794-683, факс: (3952) 794-546
Генеральный директор Колокольцев А.А.</t>
  </si>
  <si>
    <t>Заказчик: ОАО "Группа Илим"
191025, г. Санкт-Петербург, ул. Марата,17,
Филиал  ОАО "Группа Илим" в г. Усть-Илимске                                                                       666684, Иркутская область, г. Усть-Илимск, промышленная площадка ЛПК
тел. (39535) 93194                                              Директор филиала Сизов С.Е.</t>
  </si>
  <si>
    <t>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Директор филиала Паньшин А.В.</t>
  </si>
  <si>
    <t>Заказчик: ОАО «Иркутская электросетевая компания»                                                             664033, г. Иркутск, ул. Лермонтова 257,            тел: (3952) 792-459, факс: (3952) 792-461 
Генеральный директор Каратаев Б.Н.
Филиал ОАО «Иркутская электросетевая компания» Центральные электрические сети
665709, Иркутская область, г.Ангарск,                      2-я улица Хмельницкого, 22, тел. 8(3955)502740                                              Директор филиала  Старцев М.В.
Генподрядчик: ООО «ЕвроСибЭнерго-инжиниринг»
 664050, г. Иркутск, ул. Байкальская, д. 259
тел.: (3952) 794-683, факс: (3952) 794-546
Генеральный директор Юшманов В.П.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</si>
  <si>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Директор филиала Паньшин А.В.</t>
  </si>
  <si>
    <t>Заказчик: ПАО «Богучанская ГЭС»  
663491, г. Кодинск, стройбаза левого берега           зд. 1, объединённая база №1 а/я 132 
тел.(39143) 3-10-00, 7-13-96
Генеральный директор Демченко В.В.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</si>
  <si>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Директор филиала Паньшин А.В.</t>
  </si>
  <si>
    <t>Заказчик: ОАО «Иркутская электросетевая компания»                                                         664033, г. Иркутск, ул. Лермонтова 257,          тел: (3952) 792-459, факс: (3952) 792-461 Генеральный директор Каратаев Б.Н.              Филиал ОАО «Иркутская электросетевая компания» Центральные электрические сети 665709, Иркутская область, г. Ангарск,                    2-я улица Хмельницкого, 22,                               тел. 8(3955)502740                                              Директор филиала  Старцев М.В.</t>
  </si>
  <si>
    <t>Заказчик: ООО ГРК Быстринское
672000, Забайкальский край, г. Чита,                       ул. Лермонтова, д. 2                                              Генеральный директор Попов А.Н.
Подрядчик: ООО "Ренейссанс Хэви Индастрис"
194021 г.Санкт-Петербург 
ул.Шателена д,26 литер А, пом.93      Руководитель Каракайа А.</t>
  </si>
  <si>
    <t>Заказчик: ООО ГРК Быстринское
672000, Забайкальский край, г. Чита,                         ул. Лермонтова, д. 2                                                       Генеральный директор Попов А.Н.
Генподрядчик: АО "РОСТ-С"
119019, г Москва, бульвар Никитский, дом 12, пом.3
Генеральный директор  Текеев А.А.</t>
  </si>
  <si>
    <t>Заказчик: ООО ГРК Быстринское
672000, Забайкальский край, г. Чита,                              ул. Лермонтова, д. 2                                                   Генеральный директор Попов А.Н.
Генподрядчик АО "РОСТ-С"
119019, г Москва, бульвар Никитский, дом 12, пом.3
Генеральный директор Текеев А.А.                Подрядчик: ЗАО "ГК "Электрощит"-ТМ Самара"
443048, г. Самара, пос. Красная Глинка, корпус заводоуправления ОАО "Электрощит"
тел.(846)273-38-49                                                Президент: Бриссе Э.Б</t>
  </si>
  <si>
    <t xml:space="preserve">Заказчик: ПАО «ФСК ЕЭС» - МЭС Западной Сибири 
628406, Тюменская область, г. Сургут,                  ул. Геологическая, д. 4 
тел.: (3462) 77-75-12, факс: (3462) 77-73-01 Генеральный директор Ляпунов Е.В.
Генподрядчик: Филиал АО «ЦИУС ЕЭС» — ЦИУС Западной Сибири 
628408, Тюменская область, Ханты-Мансийский автономный округ - Югра,                      г. Сургут, ул. Университетская, д. 4, офис № 2
тел.: (3462) 777-150                                                Директор Малыхин О.В.
Подрядчик: ООО «Петроком»                               192012, г.Санкт-Петербург,                                     ул. Мурзинская, д.11, лит.А,                                    тел.(812) 331-25-17                                                         Генеральный директор Гриценко А.С.
</t>
  </si>
  <si>
    <t>Заказчик: ООО ГРК Быстринское
672000, Забайкальский край, г. Чита,                              ул. Лермонтова, д. 2                                                     Генеральный директор Попов А.Н.
Генподрядчик: ООО "Востокгеология"
672003, г.Чита, ул.Трактовая, 35б, стр. 9,
Генеральный директор Шевчук Г.А.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</si>
  <si>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</si>
  <si>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340106,                                               Директор филиала Паньшин А.В.
Генподрядчик: ООО "Сибавтоматика"
665718, Иркутская область, г.Братск,  промышленная зона БРАЗа           
Генеральный директор Жданов С.В.</t>
  </si>
  <si>
    <t>Заказчик: ОАО «Иркутская электросетевая компания»                                                                         664033, г. Иркутск, ул. Лермонтова 257,                     тел: (3952) 792-459, факс: (3952) 792-461 Генеральный директор Каратаев Б.Н.                   Филиал ОАО «Иркутская электросетевая компания» Центральные электрические сети 665709, Иркутская область,  г. Ангарск,                         2-я улица Хмельницкого, 22,                                              тел. (3955) 502740                                              Директор филиала  Старцев М.В.</t>
  </si>
  <si>
    <t>Заказчик: ОАО «Иркутская электросетевая компания»                                                                      664033, г. Иркутск, ул. Лермонтова 257,       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
Директор филиала Ковалев П.В.</t>
  </si>
  <si>
    <t>Заказчик: ОАО «Иркутская электросетевая компания»                                                        664033, г. Иркутск, ул. Лермонтова 257,             тел: (3952) 792-459, факс: (3952) 792-461 Генеральный директор Каратаев Б.Н.                 Филиал ОАО «Иркутская электросетевая компания» Центральные электрические сети 665709, Иркутская область,  г. Ангарск,                             2-я улица Хмельницкого, 22,                                        тел. 8 (3955) 502740                                              Директор филиала  Старцев М.В.</t>
  </si>
  <si>
    <t>Заказчик: ОАО «Иркутская электросетевая компания»                                                             664033, г. Иркутск, ул. Лермонтова 257,               тел: (3952) 792-459, факс: (3952) 792-461 Генеральный директор Каратаев Б.Н.                   Филиал ОАО «Иркутская электросетевая компания» Центральные электрические сети 665709, Иркутская область,  г. Ангарск,                                 2-я улица Хмельницкого, 22,                                           тел. 8 (3955) 502740                                              Директор филиала  Старцев М.В.</t>
  </si>
  <si>
    <t>Заказчик (Генподрядчик, Подрядчик)                       наименование, адрес, контактное лицо</t>
  </si>
  <si>
    <t xml:space="preserve">Дата окончания </t>
  </si>
  <si>
    <r>
      <t xml:space="preserve">Заказчик: ОАО «ФСК ЕЭС» 
117630, г. Москва, ул. Академика Челомея, д.5А </t>
    </r>
    <r>
      <rPr>
        <sz val="9"/>
        <color rgb="FFFF0000"/>
        <rFont val="Times New Roman"/>
        <family val="1"/>
        <charset val="204"/>
      </rPr>
      <t xml:space="preserve">                                                                        </t>
    </r>
    <r>
      <rPr>
        <sz val="9"/>
        <rFont val="Times New Roman"/>
        <family val="1"/>
        <charset val="204"/>
      </rPr>
      <t xml:space="preserve">
Филиал ОАО «ФСК ЕЭС»- МЭС Сибири
660099, Красноярский край, Красноярск, ул. Ады Лебедевой, 117, тел. (391) 265-95-00 
Генеральный директор Зильберман С.М.</t>
    </r>
  </si>
  <si>
    <t>Заказчик: ПАО "Полюс"                                             123056, г. Москва, ул. Красина, д. 3, стр.1       тел: (495) 641-33-77 в лице АО «Витимэнерго» 
666902, Иркутская область, г. Бодайбо, Подстанция, д. 4, тел.: (39561) 56060 
Директор Машковский А.Р.
Генподрядчик: АО «Витимэнергострой»
664003, г Иркутск, ул. Ленина, 21
тел/факс: (3952) 33-60-35
Генеральный директор Заиграев А.С.</t>
  </si>
  <si>
    <t>Электромонтажные и пусконаладочные работы по реализации проекта "Изменение схемы питания распределительных устройств ПОСП КС-1" (проект "Большой Братск")</t>
  </si>
  <si>
    <t>Работы по проектам "Строительство хвойной линии";  "Строительство пресспата сушильной машины": Демонтаж, монтаж кабельных металлоконструкций; Демонтаж, монтаж силового контрольного кабеля; Демонтаж, монтаж электроосвещения; Демонтаж, монтаж электросилового оборудования; Демонтаж, монтаж троллейных шинопроводов; Демонтаж, монтаж  низковольтных и высоковольтных ячеек; Демонтаж, монтаж трансформаторов; Монтажные работы по электрооборудованию кранов; Монтаж высоковольтного кабеля; Монтаж концевых и соединительных муфт; Пусконаладочные работы (проект "Большой Братск")</t>
  </si>
  <si>
    <t>Заказчик: ОАО "Группа Илим"
191025, г. Санкт-Петербург, ул. Марата,17,
Филиал  ОАО "Группа Илим" в г. Братске, 665718, РФ, Иркутская обл., г. Братск
тел: (3953) 340106                                                   Директор филиала Бунеева Р.Ф.</t>
  </si>
  <si>
    <t>Заказчик: ОАО "Группа Илим"
191025, г. Санкт-Петербург, ул. Марата,17,
Филиал  ОАО "Группа Илим" в г. Братске, 665718, РФ, Иркутская обл., г. Братск
тел: (3953) 340106                                          Директор филиала Бунеева Р.Ф.</t>
  </si>
  <si>
    <t xml:space="preserve">Заказчик: ОАО «ФСК ЕЭС» 
117630, г. Москва, ул. Академика Челомея, д.5А                                                                         
Филиал ОАО «ФСК ЕЭС»- МЭС Сибири
660099, Красноярский край, Красноярск,             ул. Ады Лебедевой, 117, тел. (391) 265-95-00 
Генеральный директор Зильберман С.М.                                            
Генподрядчик: ЗАО «Электротехническая компания»                                                        614111, Пермский край, г. Пермь,                    ул.Солдатова, 29/2, тел. (342) 242-00-00 Генеральный директор Потанин В.А.            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</si>
  <si>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    Директор филиала Бунеева Р.Ф.</t>
  </si>
  <si>
    <t>Монтаж электротехнического оборудования для СРК-14 и Выпарной станции (проект "Большой Братск")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</si>
  <si>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Директор филиала Бунеева Р.Ф.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</si>
  <si>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Директор филиала Бунеева Р.Ф.</t>
  </si>
  <si>
    <t>Монтаж внутрицехового электрооборудования в зоне сушильного цеха упаковочной линии и системы автоматизации технологических процессов в зоне сушильного цеха в рамках реализация проекта "Реконструкция целлюлозного производства. 1-я очередь строительства" (проект "Большой Братск")</t>
  </si>
  <si>
    <t>Электромонтажные и пусконаладочные работы по объектам СРК-14 и Выпарной цех (проект "Большой Братск")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</si>
  <si>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 Директор филиала Бунеева Р.Ф.</t>
  </si>
  <si>
    <t>Заказчик: ОАО "Группа Илим"
191025, г. Санкт-Петербург, ул. Марата,17,
Филиал  ОАО "Группа Илим" в г. Братске, 665718,  Иркутская область, г. Братск
тел: (3953) 340106                                               Директор филиала Бунеева Р.Ф.</t>
  </si>
  <si>
    <t>Комплекс монтажных и пусконаладочных работ по титулу: "Реконструкция целлюлозного производства. 1-я очередь строительства. Сушильный отдел хвойного потока. Упаковочное отделение хвойного потока" (проект "Большой Братск")</t>
  </si>
  <si>
    <t>Работы по монтажу силового электрооборудования и пусконаладочные работы по объекту " Реконструкция целлюлозного производства.1-я очередь строительства. Технологическая электростанция. СРК-12" (проект "Большой Братск")</t>
  </si>
  <si>
    <t>Заказчик: ОАО "Группа Илим"
191025, г. Санкт-Петербург, ул. Марата,17,
Филиал  ОАО "Группа Илим" в г. Братске, 665718, Иркутская область, г. Братск
тел: (3953) 340106                                              Директор филиала Бунеева Р.Ф.</t>
  </si>
  <si>
    <t>Заказчик: ОАО «ФСК ЕЭС» 
117630, г. Москва, ул. Академика Челомея, д.5А, филиал ОАО «ФСК ЕЭС»- МЭС Востока                                                                        680000, г. Хабаровск, ул. Дзержинского, 47 
тел. (4212) 26-19-68, факс (4212) 30-86-94                                                             Директор Смирнов С.Г.                                                                     Подрядчик: АО "Гидроэлектромонтаж"
675000, Амурская область, г. Благовещенск, ул. Зейская, 225/3
Генеральный директор Васильев В.А.</t>
  </si>
  <si>
    <t>Заказчик: ПАО "Полюс"                                             123056, г. Москва, ул. Красина, д. 3, стр.1       тел: (495) 641-33-77 в лице АО «Витимэнерго» 
666902, Иркутская область, г. Бодайбо, Подстанция, д. 4, тел.: (39561) 56060 
Директор Машковский А.Р.
Генподрядчик: АО «Витимэнергострой»
664003, г Иркутск, ул. Ленина, 21
тел.: 8(3952) 33-60-35
Генеральный директор Заиграев А.С.</t>
  </si>
  <si>
    <t>ТП Даурия
Реконструкция
Забайкальский край, Забайкальский район</t>
  </si>
  <si>
    <t xml:space="preserve">ОАО «РЖД»
107174, Москва, Новая Басманная ул., д. 2
Генеральный директор – председатель правления ОАО "РЖД" О.В. Белозёров
Генподрядчик АО «РЖДстрой»
105005, Москва, улица Казакова, 8, ст 6
Подрядчик АО «Форатек ЭТС»
620017, Свердловская область, город Екатеринбург, ул. Фронтовых бригад, дом 33
Генеральный директор Галыгин А.И. </t>
  </si>
  <si>
    <t xml:space="preserve"> 571/15 от 05.10.2016 </t>
  </si>
  <si>
    <t xml:space="preserve">Строительно-монтажные работы по ТП Даурия на объекте: «Комплексная реконструкция участка Карымская-Забайкальск. Электрификация участка Борзя-Забайкальск». </t>
  </si>
  <si>
    <t xml:space="preserve">АО «РЖД»
107174, Москва, Новая Басманная ул., д. 2
Генеральный директор – председатель правления ОАО "РЖД" О.В. Белозёров
Генподрядчик АО «РЖДстрой»
105005, Москва, улица Казакова, 8, ст 6
Подрядчик АО «Форатек ЭТС»
620017, Свердловская область, город Екатеринбург, ул. Фронтовых бригад, дом 33
Генеральный директор Галыгин А.И. </t>
  </si>
  <si>
    <t>Релейная защита и автоматика генераторов турбин КТЦ (тип турбогенератоора ТТК-32-К-2 УЗ-П, мощность 40 000 кВА), испытания первичного оборудования генераторов</t>
  </si>
  <si>
    <t xml:space="preserve">11.2020
</t>
  </si>
  <si>
    <t>209</t>
  </si>
  <si>
    <t>.10.2016</t>
  </si>
  <si>
    <t>.12.2016</t>
  </si>
  <si>
    <t>04.2020</t>
  </si>
  <si>
    <t>Заказчик: ФГБОУ ВО «БрГУ»
665709, Иркутская обл., г. Братск, жилой район Энергетик, ул. Макаренко, 41                                       Ректор Ситов И.С.</t>
  </si>
  <si>
    <t>010-338-20/БФ-6/19 от 25.02.2020</t>
  </si>
  <si>
    <t>560</t>
  </si>
  <si>
    <t>136/ЗЭС   от 06.04.2020</t>
  </si>
  <si>
    <t>Оказание услуг по техническому обслуживанию устройств РЗА и ПА оборудования 500 кВ на ПС Озерная.</t>
  </si>
  <si>
    <t>137/ЗЭС  от 06.04.2020</t>
  </si>
  <si>
    <t xml:space="preserve">Оказание услуг по техническому обслуживанию устройств РЗА и ПА оборудования 110-500 кВ на ПС Тайшет. </t>
  </si>
  <si>
    <t>7 от 06.05.2020</t>
  </si>
  <si>
    <t>05.2020</t>
  </si>
  <si>
    <t>09.2020</t>
  </si>
  <si>
    <t>211</t>
  </si>
  <si>
    <t>213</t>
  </si>
  <si>
    <t>07.2020</t>
  </si>
  <si>
    <t>Испытания электрооборудования</t>
  </si>
  <si>
    <t>Проверка действия расцепителей автоматических выключателей, измерение сопротивления изоляции проводов и кабелей электрооборудования и вторичных цепей, проверка соединений заземлителей с заземляемыми элементами, проверка полного сопротивления петли "фаза-ноль", измерение сопротивления заземляющего устройства.</t>
  </si>
  <si>
    <t>Техническое обслуживание устройств РЗА и ПА</t>
  </si>
  <si>
    <t>Наладка аппаратуры и цепей вторичной коммутации шкафов, проверка высокочастотного канала защит линий 500 кВ, контроль изоляции цепей в сборе, кабельных линий.</t>
  </si>
  <si>
    <t>01.2020</t>
  </si>
  <si>
    <t>02.2020</t>
  </si>
  <si>
    <t>1803</t>
  </si>
  <si>
    <t>02/01/СП от 27.01.2020</t>
  </si>
  <si>
    <t>Профилактические испытания на Хлорном производстве Филиала АО "Группа "Илим" в г. Братске</t>
  </si>
  <si>
    <t>ПС 500/220/35 кВ Озерная,
 г. Тайшет,  Иркутская область</t>
  </si>
  <si>
    <t>ПС 500/110/35кВ Тайшет,
г. Тайшет, Иркутская область</t>
  </si>
  <si>
    <t xml:space="preserve">ПНР по проектам на объекте Заказчика (ПАО "Северсталь"), расположенном по адресу: г. Череповец, территория ПАО "Северсталь": строительство двух блоков коксовой батареи с тромбованием угольной шихты. </t>
  </si>
  <si>
    <t>ПС 35 кВ Спортивно-оздоровительный комплекс, Красноярский край</t>
  </si>
  <si>
    <t>Заказчик: Общество с ограниченной ответственностью «Малые ГЭС Ставрополья и Карачаево-Черкессии» (ООО «МГЭС Ставрополья и КЧР») в лице АО "УК ГидроОГК" 
125362, г. Москва, Строительный проезд, д. 7а, корпус 5, офис этаж 2 комната 4
Генеральный директор АО "УК ГидроОГК" 
Карпухин Н.И.</t>
  </si>
  <si>
    <t xml:space="preserve"> 0128-КС-КС ПИР СМР-2019-СМГЭС от 15.08.2019 </t>
  </si>
  <si>
    <t>Работы по корректировке проектной и рабочей документации с прохождением негосударственной экспертизы проекта, СМР и ПНР в соответствии с откорректированной проектной документацией по титулу "Спортивно-оздоровительный комплекс" ЗАО "Ванкорнефть" 1 этап ВЛ 35 кВ "Отпайка на ПС "Спортивно-оздоровительный комплекс", ПС 35/10 кВ "Спортивно-оздоровительный комплекс" (1- 4очереди)".</t>
  </si>
  <si>
    <t xml:space="preserve">09.2020 
</t>
  </si>
  <si>
    <t>Высоковольтные испытания кабеля 35 кВ марки  CU/XLPE/CWS (50SQ)/AL-FOIL/PE/PP/SWA/PP 3C х 95SQ (Taihan).
Высоковольтные испытания, наладка автоматики систем технологических защит сухих трансформаторов RESIBLOC- 18500/35/10 (АВВ).
Высоковольтные испытания, наладка вторичных цепей автоматики и микропроцессорных защит распределительного устройства среднего напряжения 35 кВ КРУЭ ABB ZX2 с элегазовой изоляцией.  
Высоковольтные испытания, наладка вторичных цепей автоматики и микропроцессорных защит распределительного устройства среднего напряжения 10 кВ КРУ ABB ZX1.</t>
  </si>
  <si>
    <t>Заказчик: ОАО «Иркутская электросетевая компания»
664033, г. Иркутск, ул. Лермонтова 257,               тел: (3952) 792-459, факс: (3952) 792-461
Генеральный директор Новиков Е.А.
Филиал  ОАО «Иркутская электросетевая компания» Западные электрические сети 
665253 г. Тулун, пер. Энергетиков 6 
Директор Коваленко Э.А.</t>
  </si>
  <si>
    <t>Заказчик: ОАО «Иркутская электросетевая компания»
664033, г. Иркутск, ул. Лермонтова 257,                 тел: (3952) 792-459, факс: (3952) 792-461
Генеральный директор Новиков Е.А.
Филиал  ОАО «Иркутская электросетевая компания» Западные электрические сети 
665253 г. Тулун, пер. Энергетиков 6 
Директор Коваленко Э.А.</t>
  </si>
  <si>
    <t>Заказчик: ОАО «Иркутская электросетевая компания»
664033, г. Иркутск, ул. Лермонтова 257,                  тел: (3952) 792-459, факс: (3952) 792-461
Филиал  ОАО «Иркутская электросетевая компания» Западные электрические сети 
665253 г. Тулун, пер. Энергетиков 6 
Директор Щекин А.И.
Генподрядчик: ООО "Амурэлектрощит"
675000, Амурская область, г. Благовещенск, ул. Пионерская, 204, тел.: 8(4162) 399-696
Директор Козлов В.В.</t>
  </si>
  <si>
    <t>210</t>
  </si>
  <si>
    <t>212</t>
  </si>
  <si>
    <t>214</t>
  </si>
  <si>
    <t>215</t>
  </si>
  <si>
    <t xml:space="preserve">Усть-Илимская ГЭС,
г. Усть-Илимск, Иркутская область
</t>
  </si>
  <si>
    <t>Заказчик: 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              а/я 958, тел. (39535) 95 859, 95 736
Директор филиала  Стрелков Е.В.</t>
  </si>
  <si>
    <t>15КС-2020 от 31.07.2020</t>
  </si>
  <si>
    <t xml:space="preserve">ПС 500/220/110/35/10/6 кВ Иркутская,
г. Ангарск, Иркутская область </t>
  </si>
  <si>
    <t>Заказчик: ОАО «Иркутская электросетевая компания»                                                             664033, г. Иркутск, ул. Лермонтова 257,            тел: (3952) 792-459, факс: (3952) 792-461 
Генеральный директор Каратаев Б.Н.
Филиал ОАО «Иркутская электросетевая компания» Центральные электрические сети
665709, Иркутская область, Ангарск, 2-я улица Хмельницкого, 22, тел. 8(3955)502740
Директор филиала  Щёкин А.И.</t>
  </si>
  <si>
    <t>57-204.031/2020 от 05.08.2020</t>
  </si>
  <si>
    <t>СМР и ПНР по замене масляных выключателей на элегазовые В-110 1ВС МСР-1 и МВ-110 2ВС МСР-1</t>
  </si>
  <si>
    <t>08.2020</t>
  </si>
  <si>
    <t>ПС 500 кВ Тулун, 
г. Тулун, Иркутская область</t>
  </si>
  <si>
    <t>ОАО «Иркутская электросетевая компания» 664033, г. Иркутск, ул. Лермонтова 257, Тел: (3952) 792-459 Факс: (3952) 792-461 
Генеральный директор Новиков Е.А.
Филиал ОАО "Иркутская электросетевая компания" Западные электрические сети 
665253 г.Тулун, пер.Энергетиков 6 
Директор Коваленко Э.А.</t>
  </si>
  <si>
    <t>13/ЗЭС-2020 от 31.01.2020</t>
  </si>
  <si>
    <t>Выполнение строительно-монтажных, пусконаладочных работ по объекту "Замена реактора Р-2-500 на ОРУ 500 кВ ПС Тулун для нужд филиала ОАО "ИЭСК" "Западные электрические сети"</t>
  </si>
  <si>
    <t>ПС 500/220/35 кВ Озерная,
г. Тайшет,  Иркутская область</t>
  </si>
  <si>
    <t>Заказчик: ОАО «Иркутская электросетевая компания»                                                              664033, г. Иркутск, ул. Лермонтова 257,              тел: (3952) 792-459, факс: (3952) 792-461 
Генеральный директор Каратаев Б.Н.
Филиал ОАО «Иркутская электросетевая компания» Западные электрические сети 
665253 г.Тулун, пер.Энергетиков 6 
Директор Коваленко Э.А.                                 
Генподрядчик:  ООО «ЕвроСибЭнерго-инжиниринг»
664050,г. Иркутск, ул. Байкальская, д. 259
тел.: (3952) 794-683, факс: (3952) 794-546
Генеральный директор Борисычев А.В.</t>
  </si>
  <si>
    <t>15/19 от 27.02.2019 доп.согл 1-2</t>
  </si>
  <si>
    <t>СМР, ПНР, поставка оборудования по объекту "Строительство ПС 500/220/35 кВ Озерная 2 пусковой комплекс"</t>
  </si>
  <si>
    <t xml:space="preserve">Олимпиаднинский ГОК, Красноярский край, Северо-Енисейский район   </t>
  </si>
  <si>
    <t>ПК739-20 от 23.09.2020</t>
  </si>
  <si>
    <t>Строительно-монтажные и пусконаладочные работы по объекту: «Техническое перевооружение ОПО «Площадка обогащения сырья. Главный корпус-2 ЗИФ-3. Замена мельницы М-25»</t>
  </si>
  <si>
    <t xml:space="preserve">ПС 220/35/10 кВ Удоканский ГМК 
II этап, п. Новая Чара,  
Забайкальский край, Каларский район 
</t>
  </si>
  <si>
    <t xml:space="preserve">Заказчик: Общество с ограниченной ответственностью «Байкальская горная компания» (ООО «БГК»)
674153, Забайкальский край, Каларский р-он, пос. Удокан, ул. Фабричная, дом 1.
Генеральный директор Миронов Г.С.
</t>
  </si>
  <si>
    <t>БГК-20-69 от 08.04.2020</t>
  </si>
  <si>
    <t>Выполнение комплекса работ на условиях "под ключ" объекта строительства: "ПС 220/35/10 кВ "Удоканский ГМК", II этап"</t>
  </si>
  <si>
    <t>01.2021</t>
  </si>
  <si>
    <t>10.2020</t>
  </si>
  <si>
    <t xml:space="preserve">ПС 220 кВ Блуждающий,
п. Новая Чара – п. Удокан, Забайкальский край, Каларский район
</t>
  </si>
  <si>
    <t xml:space="preserve">БГК-20-68 от 08.04.2020 </t>
  </si>
  <si>
    <t>Выполнение комплекса работ по строительству объекта   на условиях "под ключ" (поставка, строительно-монтажные, пусконаладочные работы и сдача в эксплуатацию) объекта:
"ПС 220 кВ "Блуждающий"</t>
  </si>
  <si>
    <t>08.2021</t>
  </si>
  <si>
    <t xml:space="preserve">ПС 500 кВ Тулун, ПС 500 кВ Новозиминская, Иркутская область
</t>
  </si>
  <si>
    <t xml:space="preserve">Выполнение пусконаладочных работ по объекту "Модернизация ВЛ 500 кВ ПС Тулун – ПС Новозиминская (№564). (Реконструкция устройств РЗА на ПС 500 кВ "Тулун" и на ПС 500 кВ "Новозиминская" для реализации ОАПВ)" </t>
  </si>
  <si>
    <t>ТП 110/27,5 кВ Невельская, ТП 110/27,5 кВ Коршуниха, Иркутская область</t>
  </si>
  <si>
    <t>Заказчик: ОАО «РЖД»
107174, Москва, Новая Басманная ул., д. 2
Генеральный директор – председатель правления ОАО "РЖД" Белозёров О.В. Подрядчик: ООО РТМ "Трансформатор"    664043, Иркутская обл., г. Иркутск, ул. Сергеева, д.3                                                Генеральный директор Сковитин А.В.</t>
  </si>
  <si>
    <t>25465/ТР-ГЭМ от 20.07.2020</t>
  </si>
  <si>
    <t>Выполнение пусконаладочных работ «под нагрузкой» на объектах: «Техническое перевооружение ТП Коршуниха с заменой тягового трансформатора с 20 МВА на 40 МВА и установкой УПК», «Техническое перевооружение ТП Невельская с заменой тягового трансформатора с 25 МВА на 40 МВА – 1шт. и установкой УПК Восточно-Сибирской ж.д.».</t>
  </si>
  <si>
    <t>03.2021</t>
  </si>
  <si>
    <t>216</t>
  </si>
  <si>
    <t>217</t>
  </si>
  <si>
    <t>219</t>
  </si>
  <si>
    <t>220</t>
  </si>
  <si>
    <t>221</t>
  </si>
  <si>
    <t>222</t>
  </si>
  <si>
    <t>224</t>
  </si>
  <si>
    <t>225</t>
  </si>
  <si>
    <t>Спортивно-оздоровительный комплекс, Красноярский край</t>
  </si>
  <si>
    <t>33 от 30.10.2020</t>
  </si>
  <si>
    <t>Замена новым кабелем 35 кВ и пусконаладочные испытания линии электропередачи 35 кВ на объекте "Спортивно-оздоровительный комплекс"</t>
  </si>
  <si>
    <t>32 от 01.10.2020</t>
  </si>
  <si>
    <t xml:space="preserve">Работы по монтажу, испытаниям и пусконаладке системы временного электроснабжения площадки строительства Спортивно-оздоровительного комплекса напряжением 10 кВ </t>
  </si>
  <si>
    <t>02.2021</t>
  </si>
  <si>
    <t>227</t>
  </si>
  <si>
    <t>Череповецкий металлургический комбинат, г. Череповец, Вологодская область</t>
  </si>
  <si>
    <t xml:space="preserve">Заказчик: ПАО «Северсталь» 
г. Череповец, ул. Мира, д. 30                                    Генеральный директор: Шевелев А.А. 
Генеральный подрядчик: ITM Group (ЗАО "ИНТЕХ")                                                    197101, Санкт-Петербург,ул. Чапаева, д.16                                         Директор: Карпов Е.В.                                            Подрядчик: ООО «Камаэлектромонтаж»
г. Санкт-Петербург, ул. Набережная Пироговская, д. 21, лит А, офис 54
Почтовый адрес: 617762, Пермский край, г. Чайковский, ул. Гагарина, 140
Директор Ребров А.Н. </t>
  </si>
  <si>
    <t>Тайшетский Алюминиевый Завод, 
г. Тайшет, Иркутская область</t>
  </si>
  <si>
    <t>Заказчик: Общество с ограниченной ответственностью "РУСАЛ Тайшетский Алюминиевый Завод" (ООО РУСАЛ Тайшет") в лице Генерального директора ООО "Инженерно-Строительная Компания" (ООО "ИСК") Перцева В.А.
665023, Иркутская обл., Тайшетский р-н, с.Старый Акульшет, ул.Советская, д.41</t>
  </si>
  <si>
    <t xml:space="preserve">446С001С398 от 05.09.2019 </t>
  </si>
  <si>
    <t>Работы в рамках КП № 21-C210: монтаж электротехнического оборудования ЗРУ 220 кВ (включая КРУЭ-220 кВ фирмы Areva). Полный комплекс электромонтажных и пусконаладочных работ ЗРУ-220 кВ, ГПП, КПП-1. Монтаж кабельных линий 220 кВ.</t>
  </si>
  <si>
    <t>Заказчик: АО "Группа "Илим"
191025, г. Санкт-Петербург, ул. Марата,17,
Филиал АО "Группа "Илим" в г. Братске, 665718, Иркутская обл., г. Братск
тел: (3953) 340649                                                         Директор филиала Ванчуков А.И.</t>
  </si>
  <si>
    <t>Группа Илим,
г. Братск, Иркутская область</t>
  </si>
  <si>
    <t>Заказчик: АО "Группа "Илим"
191025, г. Санкт-Петербург, ул. Марата,17,
Филиал АО "Группа "Илим" в г. Братске, 665718, Иркутская обл., г. Братск
тел: (3953) 340649                                                      Директор филиала Ванчуков А.И.</t>
  </si>
  <si>
    <t xml:space="preserve">010-1481-20/БФ-6/19 от 18.12.2020 </t>
  </si>
  <si>
    <t>Электромонтажные и пусконаладочные работы по замене терминалов РЗиА в РП-23 на участке электроснабжения филиала АО «Группа»Илим» в г. Братске</t>
  </si>
  <si>
    <t>Заказчик: ОАО «Иркутская электросетевая компания» 664033, г. Иркутск, ул. Лермонтова 257, тел: (3952) 792-459 факс: (3952) 792-461 
Генеральный директор  Новиков Е.А.
Филиал ОАО «Иркутская электросетевая компания» Западные электрические сети 
665253 г.Тулун, пер.Энергетиков 6 
Директор Коваленко Э.А.
Генподрядчик:  ООО «ЕвроСибЭнерго-инжиниринг»
664050,г. Иркутск, ул. Байкальская, д. 259
тел.: (3952) 794-683, факс: (3952) 794-546
Генеральный директор Борисычев А.В.</t>
  </si>
  <si>
    <t>41/20 от 30.04.2020</t>
  </si>
  <si>
    <t>Строительно-монтажные, пусконаладочные работы с поставкой оборудования по объекту: «Строительство ПС 500/220/35 кВ Озерная 2 пусковой комплекс» (дополнительные работы)</t>
  </si>
  <si>
    <t>Заказчик: ОАО «Иркутская электросетевая компания»                                                                              664033, г. Иркутск, ул. Лермонтова 257,                         тел: (3952) 792-459, факс: (3952) 792-461 
Генеральный директор Новиков Е.А.
Филиал ОАО «Иркутская электросетевая компания» Северные электрические сети
665709, Иркутская область, г. Братск, а/я 786 
тел. (3953) 33-17-27, 
Гл.инженер филиала Ефимов К.С.</t>
  </si>
  <si>
    <t>26-СЭС-2020-ОКС-м от 06.07.2020 </t>
  </si>
  <si>
    <t xml:space="preserve">Строительно-монтажные и пусконаладочные работы по объекту: Модернизация ПС 220/110/10 кВ Опорная (замена выключателей 110 кВ с недостаточной отключающей способностью) </t>
  </si>
  <si>
    <t xml:space="preserve">Заказчик: ОАО «Иркутская электросетевая компания»                                                                       664033, г. Иркутск, ул. Лермонтова 257,                      тел: (3952) 792-459, факс: (3952) 792-461 
Генеральный директор Новиков Е.А.
Филиал ОАО «Иркутская электросетевая компания» Северные электрические сети
665709, Иркутская область, г. Братск, а/я 786 
тел. (3953) 33-17-27, 
Гл.инженер филиала Ефимов К.С. </t>
  </si>
  <si>
    <t>27-СЭС-2020-ОКС-м от 06.07.2020</t>
  </si>
  <si>
    <t>Строительно-монтажные и пусконаладочные работы по объекту: Модернизация ПС 220/110/10 кВ Опорная (замена ТН 110 кВ в количестве 3 шт.)</t>
  </si>
  <si>
    <t>11.2020</t>
  </si>
  <si>
    <t>КТП 10/0,4 кВ "Вахтовый комплекс", Забайкальский край, Каларский район, п. Новая Чара – п. Удокан</t>
  </si>
  <si>
    <t xml:space="preserve">Заказчик: Общество с ограниченной ответственностью «Байкальская горная компания» (ООО «БГК»)
674153, Забайкальский край, Каларский р-он, пос. Удокан, ул. Фабричная, дом 1.
Генеральный директор Миронов Г.С. </t>
  </si>
  <si>
    <t>БГК-20-172 от 13.07.2020</t>
  </si>
  <si>
    <t>ПС 220 кВ Малая Елань, 
Иркутская область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</si>
  <si>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Новиков Е.А. Подрядчик: ЗАО "ЗЭТО"                                   182113, Россия, Псковская область, г. Великие Луки, Проспект Октябрьский, 79
тел./факс 8(81153) 6-37-95/(81153) 6-38-45
Генеральный директор Мунштуков Д.В. </t>
  </si>
  <si>
    <t>494Д-32П-3012 от 23.07.2020</t>
  </si>
  <si>
    <t xml:space="preserve">Работы по демонтажу-монтажу ТН-220 кВ и пусконаладочные работы ТН-220 6 фаз на объекте «ПС Малая Елань» </t>
  </si>
  <si>
    <t xml:space="preserve">Заказчик: ОАО «Иркутская электросетевая компания» 664033, г. Иркутск, ул. Лермонтова 257, тел: (3952) 792-459 факс: (3952) 792-461 
Генеральный директор  Новиков Е.А.
Филиал ОАО «Иркутская электросетевая компания» Западные электрические сети 
665253 г.Тулун, пер.Энергетиков 6 
Директор Коваленко Э.А.
Генподрядчик:  ООО «ЕвроСибЭнерго-инжиниринг»
664050,г. Иркутск, ул. Байкальская, д. 259
тел.: (3952) 794-683, факс: (3952) 794-546
Генеральный директор Борисычев А.В. Подрядчик: ООО "ГЭС-Инжиниринг" 663090,Россия,Красноярский край, г. Дивногорск, а/я 1                              Технический директор Маслов М.А. </t>
  </si>
  <si>
    <t>2778 от 10.09.2020    2795 от 19.10.2020</t>
  </si>
  <si>
    <t>Реконструкция ограждения, системы водопровода и канализации, строительство ПС 500 кВ Озерная 3 п.к.</t>
  </si>
  <si>
    <t>ПС 110/10 кВ Северная, 
г.Братск, Иркутская область</t>
  </si>
  <si>
    <t>Заказчик: ОАО «Иркутская электросетевая компания»                                                          664033, г. Иркутск, ул. Лермонтова 257,     тел: (3952) 792-459, факс: (3952) 792-461 
Генеральный директор Новиков Е.А. 
Филиал ОАО «Иркутская электросетевая компания» Северные электрические сети
665709, Иркутская область, г. Братск, а/я 786 
тел. (3953) 33-17-27, 
Директор филиала Ковалев П.В.</t>
  </si>
  <si>
    <t>36-СЭС-2020-ОКС-ц от 16.09.2020</t>
  </si>
  <si>
    <t>Строительно-монтажные, пусконаладочные работы по объекту "Модернизация ПС 110 кВ Северная", для нужд филиала ОАО «ИЭСК» Северные электрические сети</t>
  </si>
  <si>
    <t>04.2021</t>
  </si>
  <si>
    <t>31 от 03.11.2020</t>
  </si>
  <si>
    <t>Аварийно-восстановительные работы по монтажу двух соединительных муфт 35 кВ, восстановление наружной оболочки кабеля ПвКасП2г35 кВ ремонтными комплектами с восстановлением слоев наружной оболочки и брони кабеля на участке №3 территории объекта.</t>
  </si>
  <si>
    <t>223</t>
  </si>
  <si>
    <t>226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</si>
  <si>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</si>
  <si>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</si>
  <si>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</si>
  <si>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</si>
  <si>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</si>
  <si>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</si>
  <si>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</si>
  <si>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</si>
  <si>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</si>
  <si>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</si>
  <si>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</si>
  <si>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</si>
  <si>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 xml:space="preserve">12.2020 </t>
  </si>
  <si>
    <t>Релейная защита и автоматика линий 220 кВ, испытание первичного оборудования 220 кВ.</t>
  </si>
  <si>
    <t xml:space="preserve">03.2021 
</t>
  </si>
  <si>
    <t>Испытание и наладка оборудования КРУЭ ЗРУ-220 кВ, наладка шкафов РЗА и ПА, наладка УПАСК, регистратора аварийных событий, диф.защиты линий 220 кВ, системы связи ВОЛС</t>
  </si>
  <si>
    <t>526</t>
  </si>
  <si>
    <t>Испытание реактора Р-2-500 на ОРУ-500 кВ</t>
  </si>
  <si>
    <t>Испытание оборудования ОРУ-220 кВ, ЗРУ-35 кВ, ЗРУ-10 кВ, СОПТ, ЩСН. Релейная защита и автоматика, АСУ ТП</t>
  </si>
  <si>
    <t>Испытание оборудования ОРУ-220 кВ, ЗРУ-10 кВ, СОПТ, ЩСН. Релейная защита и автоматика, АСУ ТП, АИИС КУЭ</t>
  </si>
  <si>
    <t>Испытание и наладка оборудования ОРУ-220 кВ, наладка АСУ ТП, СОПТ, наладка охранного оборудования, заземление, молниезащита</t>
  </si>
  <si>
    <t>Наладка терминалов РЗиА</t>
  </si>
  <si>
    <t>Испытание кабельных линий</t>
  </si>
  <si>
    <t>Наладка КТП 1, 2, 3, РП-10 кВ, испытание кабельных линий 10 кВ</t>
  </si>
  <si>
    <t>Испытание и наладка ячеек 10 кВ, синхронизированного двигателя, испытание, настройка силового эл.оборудования, системы пожаротушения и освещения</t>
  </si>
  <si>
    <t>Испытание автотрансформатора, оборудования ОРУ-500 кВ</t>
  </si>
  <si>
    <t>Пусконаладочные работы системы РЗиА</t>
  </si>
  <si>
    <t>Испытание и наладка трансформаторов напряжения</t>
  </si>
  <si>
    <t>Испытание оборудования "под нагрузкой" на ТП Коршуниха, ТП Невельская</t>
  </si>
  <si>
    <t>Наладка КТП 2*1600/6/0,4</t>
  </si>
  <si>
    <t>Испытание трансформаторов напряжения 110 кВ, наладка вторичных цепей</t>
  </si>
  <si>
    <t>Испытание трансформаторов тока, выключателей 110 кВ, наладка вторичных цепей</t>
  </si>
  <si>
    <t>Строительно-монтажные работы КТП 10/0,4 кВ "Вахтовый комплекс"</t>
  </si>
  <si>
    <t>Строительно-монтажные, пусконаладочные работы по замене воздушного выключателя ВВБ-500 на элегазовый</t>
  </si>
  <si>
    <t xml:space="preserve">Заказчик: ПАО "Полюс"                              123056, г. Москва, ул. Красина, д. 3, стр.1       тел: (495) 641-33-77 в лице АО «Полюс Красноярск»                                                 660061, г.Красноярск, ул. Цимлянская, 37        тел: (391) 290 61 03                                                                       Директор по управлению проектами и строительству Зырянов Д.А. </t>
  </si>
  <si>
    <t xml:space="preserve">Заказчик: ООО «РН-Ванкор»                      660077, Красноярский край, г. Красноярск, ул. 78 Добровольческой бригады, д.15        тел: +7 (391) 274-56-99, +7 (391) 263-82-05                      Генеральный директор Чернов В.Н.                 Генеральный подрядчик: ENKA INSAAT VE SANAYI ANONIM SIRKETI (ЭНКА ИНШААТ ВЕ САНАЙИ АНОНИМ ШИРКЕТИ)
Юридический адрес: Балмумджу Махаллеси, Зинджирликуйу Йолу, д.10, Бешикташ, г. Стамбул, Турция, 34349
Директор проекта: Илджи Мюмтаз Окан </t>
  </si>
  <si>
    <t>ПС 110 кВ Нежданинская, Республика Саха (Якутия)</t>
  </si>
  <si>
    <t>Заказчик: АО «Полиметалл» Холдинговая компания группы в России
198216, г. Санкт-Петербург,                     Проспект Народного Ополчения, 2
тел. +7-812-334-36-66 в лице                       ООО "Южно-верхоянские энергосети" (ООО ЮВЭС)                                                    677027, Республика Саха (Якутия), г. Якутск ул. Октябрьская, 26 Б  тел. (4112) 31-90-40
Генеральный директор: Селютин Д.Э.</t>
  </si>
  <si>
    <t>ЮВЭС/10-01 от 09.10.2020</t>
  </si>
  <si>
    <t>СМР и ПНР на объекте ПС 110 кВ Нежданинская по титулу "Строительство ВЛ 110 кВ Хандыга-Нежданинская с ПС 110 кВ Нежданинская"</t>
  </si>
  <si>
    <t xml:space="preserve">Заказчик: ООО «РН-Ванкор»                      660077, Красноярский край, г. Красноярск, ул. 78 Добровольческой бригады, д.15        тел: +7 (391) 274-56-99, +7 (391) 263-82-05                      Генеральный директор Чернов В.Н.           Генеральный подрядчик: ENKA INSAAT VE SANAYI ANONIM SIRKETI (ЭНКА ИНШААТ ВЕ САНАЙИ АНОНИМ ШИРКЕТИ)
Юридический адрес: Балмумджу Махаллеси, Зинджирликуйу Йолу, д.10, Бешикташ, г. Стамбул, Турция, 34349
Директор проекта: Илджи Мюмтаз Окан </t>
  </si>
  <si>
    <t>34 от 27.01.2021</t>
  </si>
  <si>
    <t>Пусконаладочные работы оборудования в зданиях объекта "Спортивно-оздоровительный комплекс"</t>
  </si>
  <si>
    <t>01. 2021</t>
  </si>
  <si>
    <t>218</t>
  </si>
  <si>
    <t>ПС 500/110/35 кВ Тайшет,
ПС 500/220/35 кВ Озерная,
Иркутская область</t>
  </si>
  <si>
    <t>Заказчик: ОАО «Иркутская электросетевая компания»
664033, г. Иркутск, ул. Лермонтова 257,        тел: (3952) 792-459, факс: (3952) 792-461
Генеральный директор  Новиков Е.А.
Филиал ОАО «Иркутская электросетевая компания» Западные электрические сети 
665253 г.Тулун, пер.Энергетиков 6 
Директор филиала Щекин А.И.</t>
  </si>
  <si>
    <t>128/ЗЭС от 23.04.2021</t>
  </si>
  <si>
    <t xml:space="preserve">Оказание услуг по техническому обслуживанию устройств РЗА присоединений 500 кВ на ПС Озерная и присоединений 110 кВ ПС Тайшет </t>
  </si>
  <si>
    <t>Заказчик: АО "Группа "Илим"
191025, г. Санкт-Петербург, ул. Марата,17,
Филиал АО "Группа "Илим" в г. Братске, 665718, Иркутская обл., г. Братск
тел: (3953) 340649                                                    Директор филиала Ванчуков А.И.</t>
  </si>
  <si>
    <t>010-242-21/БФ-6/19 от 08.04.2021</t>
  </si>
  <si>
    <t>СМР и ПНР по замене токоограничвающего реактора Р-2в ГРУ ТЭС-2 ПриЭ филиала АО "Группа "Илим" в г.Братске</t>
  </si>
  <si>
    <t>ПС 500/220/35 кВ Озерная,
Иркутская область</t>
  </si>
  <si>
    <t>Заказчик: ОАО «Иркутская электросетевая компания»
664033, г. Иркутск, ул. Лермонтова 257,        тел: (3952) 792-459, факс: (3952) 792-461
Генеральный директор  Новиков Е.А.
Филиал ОАО «Иркутская электросетевая компания» Западные электрические сети 
665253 г.Тулун, пер.Энергетиков 6 
И.о. директора филиала Аверьянов С.А.</t>
  </si>
  <si>
    <t>134/ЗЭС от 12.05.2021</t>
  </si>
  <si>
    <t xml:space="preserve">Оказание услуг по техническому обслуживанию устройств РЗА присоединений 220 кВ на ПС Озерная </t>
  </si>
  <si>
    <t>05.2021</t>
  </si>
  <si>
    <t>010-696-21/БФ-6/19 от 01.06.2021</t>
  </si>
  <si>
    <t>ЭМР и ПНР для реализации инвестиционного проекта: "Модернизация системы очистки дымовых газов ИРП №4, ИРП №5, ИРП №6" филиала АО "Группа "Илим" в г.Братске</t>
  </si>
  <si>
    <t>06.2021</t>
  </si>
  <si>
    <t>010-816-21/БФ-6/19 от 21.06.2021</t>
  </si>
  <si>
    <t>Отключение и подключение шин после ремонта на турбогенераторе на КТЦ ПриЭ; ПНР после проведения ремонта на турбогенераторе КТЦ и ПриЭ филиала АО "Группа "Илим" в г.Братске</t>
  </si>
  <si>
    <t>Испытания и пуск в работу турбогенератора после капитального ремонта</t>
  </si>
  <si>
    <t>Техническое обслуживание устройств РЗА присоединений 220 кВ ПС Озерная</t>
  </si>
  <si>
    <t>Техническое обслуживание устройств РЗА присоединений 500 кВ ПС Озерная, присоединений 110 кВ ПС Тайшет</t>
  </si>
  <si>
    <t>Испытание силового электрооборудования, измерения и испытания вторичного оборудования, ПНР системы РЗА и телемеханики</t>
  </si>
  <si>
    <t>Испытание 6 кВ токоограничивающего реактора ТЭС-2</t>
  </si>
  <si>
    <t>Настройка и пуск в работу ВВ ячеек 6 кВ. Испытания трансформаторов поля электрофильтров. Настройка и пуск в работу электродвигателей дымососов, электрозадвижек, транспортёров. Настройка частотных преобразователей.</t>
  </si>
  <si>
    <t xml:space="preserve">ПС 220 кВ Междуреченская,
г. Междуреченск, Кемеровская область 
</t>
  </si>
  <si>
    <t xml:space="preserve">Заказчик:  ПАО "ФСК ЕЭС"- МЭС Сибири
Генподрядчик: ООО «ДИАПАЗОН» 
115114, г. Москва, 
ул. Летниковская, д. 10, 
строение 4, помещение I, ком.143-152, эт.5               Директор Бусыгин М.В.
</t>
  </si>
  <si>
    <t>21.06-114-У(МР-2) от 04.06.2021 доп.согл 1-3</t>
  </si>
  <si>
    <t xml:space="preserve">Монтажные, такелажные, пусконаладочные работы по реконструкции объекта ПС 220 кВ "Междуреченская"  </t>
  </si>
  <si>
    <t xml:space="preserve">06.2022
</t>
  </si>
  <si>
    <t xml:space="preserve">ПС 220 кВ Полимер,
Усть-Кутский район, Иркутская область  </t>
  </si>
  <si>
    <t>Заказчик: ООО "Иркутская нефтяная компания"
664007, г. Иркутск, пр-т Большой     Литейный, 4                                                                             Начальник правового управления Мельник С.В.</t>
  </si>
  <si>
    <t>19/21 от 17.06.2021
Дополнение № 19/21-4390 от 18.06.2021</t>
  </si>
  <si>
    <t xml:space="preserve">Строительство объекта "ПС 220 кВ Полимер" 
2 этап строительства.
Выполнение полного комплекса строительно-монтажных и пусконаладочных работ </t>
  </si>
  <si>
    <t xml:space="preserve">07.2022
</t>
  </si>
  <si>
    <t>Линейная  ячейка в ОРУ РП 110 кВ Полюс для подключения ВЛ 110 кВ Полюс-Высочайший,  
п. Кропоткин, Бодайбинский район, Иркутская область</t>
  </si>
  <si>
    <t>Заказчик: АО "Витимэнерго" 
666902, Российская Федерация Иркутская область, г. Бодайбо, Подстанция, д. 4;
Тел.: 8 (39561) 56060 доб 44100 
Генподрядчик: АО "Витимэнергострой"
664003, г Иркутск, ул. Ленина, 21
Тел/факс: 8(3952) 33-60-35
Генеральный директор Заиграев А.С.</t>
  </si>
  <si>
    <t>46/07-2021 от 09.07.2021 доп.согл 1</t>
  </si>
  <si>
    <t>Комплекс работ по строительству линейной ячейки 110 кВ Полюс для подключения ВЛ 110 кВ Полюс -Высочайший</t>
  </si>
  <si>
    <t>07.2021</t>
  </si>
  <si>
    <t>11.2021</t>
  </si>
  <si>
    <t>Линейная ячейка 110 кВ в ОРУ ПС 110 кВ Артёмовская для подключения ВЛ 110 кВ Артемовская-Красный,
п. Кропоткин, Бодайбинский район, Иркутская область</t>
  </si>
  <si>
    <t>Заказчик: АО "Витимэнерго" 
666902, Российская Федерация Иркутская область, г. Бодайбо, Подстанция, д. 4;
Те.: 8 (39561) 56060 доб 44100 
Генподрядчик: АО "Витимэнергострой"
664003, г Иркутск, ул. Ленина, 21
Тел.89149266010 Тел/факс: 8(3952) 33-60-35
Генеральный директор Заиграев А.С.</t>
  </si>
  <si>
    <t>45/07-2021 от 09.07.2021
доп. согл бн;
 доп.согл 1</t>
  </si>
  <si>
    <t>Комплекс работ по строительству линейной ячейки 110 кВ в ОРУ ПС 110 кВ Артёмовская для подключения ВЛ 110 кВ Артемовская-Красный</t>
  </si>
  <si>
    <t>Спортивно-оздоровительный комплекс ЗАО "Ванкорнефть", Красноярский край</t>
  </si>
  <si>
    <t>35 от 15.07.2021</t>
  </si>
  <si>
    <t>Ремонт и пусконаладка волоконно-оптического кабеля с применением соединительной муфты на территории объекта  (Спортивно-оздоровительный комплекс).</t>
  </si>
  <si>
    <t>ПС 35/6 кВ Строительная,
г.Усть-Илимск, Иркутская область</t>
  </si>
  <si>
    <t>Заказчик: АО "Братская электросетевая компания"
РФ, 65710,Иркутская область,  г. Братск, ул.Дружбы,45 
Генеральный директор Кабаев С.И.</t>
  </si>
  <si>
    <t>ОК-139/21 от 16.07.2021</t>
  </si>
  <si>
    <t>Выполнение комплекса работ по объекту: "Реконструкция ПС 35/6 кВ "Строительная" и строительство двухцепной ВЛ-35кВ в городе Усть-Илимске"</t>
  </si>
  <si>
    <t xml:space="preserve">12.2023
</t>
  </si>
  <si>
    <t>ПС 500 кВ Красноярская,
г. Красноярск</t>
  </si>
  <si>
    <t xml:space="preserve">Заказчик:  ПАО "ФСК ЕЭС"-МЭС Сибири
Генподрядчик: ООО «ДИАПАЗОН» 
115114, г. Москва, 
ул. Летниковская, д. 10, 
строение 4, помещение I, ком.143-152, эт.5
Директор Бусыгин М.В.
</t>
  </si>
  <si>
    <t>21.07-153-СП(КР)
от 19.07.2021</t>
  </si>
  <si>
    <t>Монтажные и пусконаладочные работы
на объекте ПС 500 кВ "Красноярская"</t>
  </si>
  <si>
    <t xml:space="preserve">03.2022
</t>
  </si>
  <si>
    <t xml:space="preserve">Участок "Нежданинский", 
Республика Саха (Якутия), Томпонский район </t>
  </si>
  <si>
    <t>Заказчик: Акционерное общество «Южно-Верхоянская Горнодобывающая Компания» (АО «ЮВГК») 
677000, Республика Саха (Якутия), г. Якутск, ул. Дзержинского, д.23                                              Управляющий директор Симон А.В.</t>
  </si>
  <si>
    <t>ЮВГК 2(01-1-0768) от 02.08.2021</t>
  </si>
  <si>
    <t>Выполнение электромонтажных работ с проведением замеров на объектах АО "ЮВГК" участок "Нежданинский" - Главный корпус обогатительной фабрики; Рудоподготовительный комплекс; Склад химических реагентов; Склад ГСМ; Склад концентратов.</t>
  </si>
  <si>
    <t xml:space="preserve">12.2021
</t>
  </si>
  <si>
    <t xml:space="preserve">Группа Илим филиал в г. Усть-Илимске,
г. Усть-Илимск, Иркутская область </t>
  </si>
  <si>
    <t>Заказчик: АО "Группа "Илим"
191025, г. Санкт-Петербург, ул. Марата,17,
Филиал АО "Группа "Илим" в г. Усть-Илимске, 666684, РФ, Иркутская обл., г. Усть-Илимск, промышленная площадка ЛПК
Тел. (39535)93194                                Директор по закупкам Стороженко С.А.</t>
  </si>
  <si>
    <t xml:space="preserve">SP1624-БФ-6/19 от 19.08.2021 </t>
  </si>
  <si>
    <t>Выполнение ЭМР по электротехнической части, КИПиА и АСУТП, пожарной автоматике по проекту: "Строительство ЦКК в г. Усть-Илимске"</t>
  </si>
  <si>
    <t>09.2022</t>
  </si>
  <si>
    <t>Заказчик: Общество с ограниченной ответственностью "Удоканская медь"
674153, Забайкальский край, Каларский р-он, пос. Удокан, ул. Фабричная, дом 1. Зам.генерального директора Назаров М.Е.</t>
  </si>
  <si>
    <t>Площадка под размещение мобильной модульной подстанции и временных сетей инженерно-технического обеспечения, 
п. Кропоткин, Иркутская область</t>
  </si>
  <si>
    <t>Заказчик: АО "Витимэнерго" 
666902, Российская Федерация Иркутская область, г. Бодайбо, Подстанция, д. 4;
Те.: 8 (39561) 56060 доб 44100 
Генподрядчик АО "Витимэнергострой"
664003, г Иркутск, ул. Ленина, 21
Тел.89149266010 Тел/факс: 8(3952) 33-60-35
Генеральный директор Заиграев А.С.</t>
  </si>
  <si>
    <t>58/09-2021 от 20.09.2021</t>
  </si>
  <si>
    <t>Комплекс работ по строительству ВЛ 110 кВ Кропоткинская - Вернинская № 2 с отпайкой на РП Полюс и реконструкции ПС 110 кВ Вернинская в части устройства площадки под модульную мобильную подстанцию: 2 и 3 этап, электромонтажные и пусконаладочные работы</t>
  </si>
  <si>
    <t>09.2021</t>
  </si>
  <si>
    <t>ПС 110/35/10 кВ Куйтун,
п. Куйтун, Иркутская область</t>
  </si>
  <si>
    <t xml:space="preserve">Заказчик: ОАО "Иркутская электросетевая компания"
664033, г. Иркутск, ул. Лермонтова 257,    Тел: (3952) 792-459 Факс: (3952) 792-461
Генеральный директор Новиков Е.А.
Филиал Западные электрические сети 
665253 г. Тулун, пер. Энергетиков 6 Директор филиала Щекин А.И.  
</t>
  </si>
  <si>
    <t>209/ЗЭС от 03.09.2021 доп.согл 1-2</t>
  </si>
  <si>
    <t>Выполнение строительно-монтажных, пусконаладочных работ, поставка оборудования по объекту: "Модернизация ПС 110/35/10 кВ Куйтун с заменой силового трансформатора Т-1"</t>
  </si>
  <si>
    <t>10.2021</t>
  </si>
  <si>
    <t>Заказчик: АО "Группа "Илим"
191025, г. Санкт-Петербург, ул. Марата,17,
Филиал АО "Группа "Илим" в г. Братске, 665718, РФ, Иркутская обл., г. Братск
Тел: (3953) 340649                                        Директор филиала Ванчуков А.И.</t>
  </si>
  <si>
    <t>010-1081-21 от 06.10.2021</t>
  </si>
  <si>
    <t>ПНР по проверке автоматических выключателей комплектных трансформаторных подстанций на производствах ВОЦ, СЦ ПХЦ</t>
  </si>
  <si>
    <t xml:space="preserve">ПС 110 кВ Нежданинская, 
Республика Саха (Якутия) 
</t>
  </si>
  <si>
    <t>Заказчик: Общество с ограниченной ответственностью "Южно-Верхоянские энергосети" 
677027, Республика Саха (Якутия), г. Якутск, ул. Октябрьская, 26 Б 
Генеральный директор Селютин Д.Э.</t>
  </si>
  <si>
    <t xml:space="preserve">ЮВЭС/10-02 
от 21.10.2021 
</t>
  </si>
  <si>
    <t>Проведение повторных испытаний и измерений трансформаторного оборудования ПС 110 кВ "Нежданинская" с выполнением анализов трансформаторного масла</t>
  </si>
  <si>
    <t>ПС 220 кВ Витим 
п. Кропоткин, Бодайбинский район, Иркутская область</t>
  </si>
  <si>
    <t xml:space="preserve">Заказчик: ООО "Полюс Сухой Лог" 
666904, Иркутская обл., м. р-н Бодайбинский, г.п. Бодайбинское, г. Бодайбо, ул. Мира зд.4, помещ. 205                                                                  Старший вице-президент по операционной деятельности Полин В.А.
</t>
  </si>
  <si>
    <t>СЛЗ-175/21 от 03.11.2021</t>
  </si>
  <si>
    <t>Комплекс работ по строительству объекта :
"ПС 220 кВ Витим с ЛЭП 220 кВ Сухой Лог – Витим №1, №2 (1 этап)".</t>
  </si>
  <si>
    <t>03.2023</t>
  </si>
  <si>
    <t>ПС 220 кВ Удоканский ГМК и ПС 220 кВ Чара.
Забайкальский край, Каларский район,
п. Новая Чара – п. Удокан</t>
  </si>
  <si>
    <t>УМ-21-617 от 10.11.2021</t>
  </si>
  <si>
    <t>Комплекс работ по модернизации, доукомплектации, монтажу и пусконаладке противоаварийной автоматики  (шкафа ПА. ПС220/ОПУ-инв.№ ER-000982) на  ПС 220 кВ Удоканский ГМК и ПС 220 кВ Чара</t>
  </si>
  <si>
    <t>01.2022</t>
  </si>
  <si>
    <t xml:space="preserve">ПС 35/10 кВ в п.Янталь,                              Усть-Кутский район, Иркутская область  
</t>
  </si>
  <si>
    <t>ОК-201/21 
от 12.11.2021</t>
  </si>
  <si>
    <t>Выполнение строительно-монтажных и пусконаладочных работ по объекту "Строительство ВЛ-35 кВ, ПС 35/10 кВ в п.Янталь, Усть-Кутского района"</t>
  </si>
  <si>
    <t xml:space="preserve">12.2022 
</t>
  </si>
  <si>
    <t>Заказчик: АО "Группа "Илим"
191025, г. Санкт-Петербург, ул. Марата,17,
Филиал АО "Группа "Илим" в г. Братске, 665718, РФ, Иркутская обл., г. Братск
Тел: (3953) 340649                                 Директор филиала Ванчуков А.И.</t>
  </si>
  <si>
    <t xml:space="preserve"> 010-1352-21 от 17.11.2021</t>
  </si>
  <si>
    <t>Выполнение электромонтажных и пусконаладочных работ по капитальному ремонту силового трансформатора ТДН-16000 КВА 110/6 кВ УЭС филиала АО "Группа "Илим" в г. Братске</t>
  </si>
  <si>
    <t xml:space="preserve">04.2022
</t>
  </si>
  <si>
    <t>05.2022</t>
  </si>
  <si>
    <t>Заказчик: АО "Группа "Илим"
191025, г. Санкт-Петербург, ул. Марата,17,
Филиал АО "Группа "Илим" в г. Братске, 665718, РФ, Иркутская обл., г. Братск
Тел: (3953) 340649                                Директор филиала Ванчуков А.И.</t>
  </si>
  <si>
    <t>010-1497-21/БФ-6/19 от 24.12.2021</t>
  </si>
  <si>
    <t>Монтажные и пусконаладочные работы по ретрофиту РЗиА и силовой части секционных и вводных ячеек КРУ РП-3 филиала АО "Группа "Илим" в г. Братске</t>
  </si>
  <si>
    <t xml:space="preserve">Участок Нежданинский, 
Республика Саха (Якутия) 
</t>
  </si>
  <si>
    <t>Заказчик: Акционерное общество «Южно-Верхоянская Горнодобывающая Компания» (АО «ЮВГК»)                                           677000, Республика Саха (Якутия), г. Якутск, ул. Дзержинского, д.23
Управляющий директор Симон А.В.</t>
  </si>
  <si>
    <t>04.2022</t>
  </si>
  <si>
    <t>12.2022</t>
  </si>
  <si>
    <t>ЮВГК 2(09-1-0509) от 15.04.2022</t>
  </si>
  <si>
    <t>Приемо-сдаточные испытания вновь вводимого в эксплуатацию электрооборудования в соответствии с нормами ПУЭ на объекте "Инфраструктура. "Главный корпус обогатительной фабрики "АБК", находящегося на территории участка "Нежданинский"</t>
  </si>
  <si>
    <t>117/ЗЭС от 04.04.2022</t>
  </si>
  <si>
    <t>Оказание услуг по техническому обслуживанию устройств РЗА оборудования 110-500 кВ на ПС Тайшет и оборудования 220-500 кВ на ПС Озерная.</t>
  </si>
  <si>
    <t>Испытание первичного оборудования 110,220 кВ, РЗиА оборудования 110,220 кВ, АСУ ТП, БСК-1,2, ипытания кабельных линий</t>
  </si>
  <si>
    <t>Испытание первичного оборудования, оборудования собственных нужд, кабельных линий; РЗиА, телемеханика, металлосвязь</t>
  </si>
  <si>
    <t>Определение места повреждения кабеля</t>
  </si>
  <si>
    <t>Испытание первичного оборудования, испытание шкафов собственных нужд, металлосвязь, испытание кабельных линий</t>
  </si>
  <si>
    <t>Испытание первичного оборудования 500 кВ, РЗиА, АИИС КУЭ, АСУ ТП.</t>
  </si>
  <si>
    <t>Испытание первичного оборудования, металлосвязь</t>
  </si>
  <si>
    <t>Испытание трансформатора ТДТН-16000/110 кВ</t>
  </si>
  <si>
    <t>Испытание автоматов КТП</t>
  </si>
  <si>
    <t>Повторное испытание трансформаторного оборудования</t>
  </si>
  <si>
    <t>Испытание шкафов ПА</t>
  </si>
  <si>
    <t>Испытание выключателей</t>
  </si>
  <si>
    <t>Испытание оборудования (ВРУ, ЩС, ЩОВ, ШУ)</t>
  </si>
  <si>
    <t xml:space="preserve"> Техническое обслуживание устройств РЗА оборудования 110-500 кВ на ПС Тайшет и оборудования 220-500 кВ на ПС Озерная</t>
  </si>
  <si>
    <t>Испытание первичного оборудования 35 кВ, испытание шкафов собственных нужд, испытание кабельных линий, РЗиА, АСУ ТП, АИИС КУЭ, проверка сетей связи, охранной сигнализации, видеонаблюдения</t>
  </si>
  <si>
    <t>Испытание, проверка, настройка терминалов защит турбогенератора, испытание шинопровода</t>
  </si>
  <si>
    <t>Испытание первичного оборудования 220 кВ, настройка терминалов защит, линий связи, РЗиА, ПА, ОПС, АСУ ТП, АИИС КУЭ</t>
  </si>
  <si>
    <t>Испытание первичного оборудования, настройка терминалов защит оборудования 35 кВ, 10 кВ</t>
  </si>
  <si>
    <t>Испытание первичного оборудования 220 кВ, РЗиА оборудования 220 кВ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</si>
  <si>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</si>
  <si>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</si>
  <si>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</si>
  <si>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</si>
  <si>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</si>
  <si>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</si>
  <si>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</si>
  <si>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</si>
  <si>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</si>
  <si>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</si>
  <si>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Испытание трансформатора (до и после капитального ремонта)</t>
  </si>
  <si>
    <t xml:space="preserve">Усть-Среднеканская ГЭС, 
п. Синегорье, Магаданская область
</t>
  </si>
  <si>
    <t>Заказчик: Акционерное общество «АО «Усть-СреднеканГЭСстрой» (АО «Усть-СреднеканГЭСстрой»)                                          Место нахождения: РФ, 685918, г. Магадан, пгт. Уптар, ул. Усть-Илимская, д. 3.
Почтовый адрес: РФ, 680017, г. Хабаровск, ул. Ленина, д.57 лит. А, эт.4 пом. VI
Директор обособленного подразделения в г. Советская Гавань Зырянов Д.С.</t>
  </si>
  <si>
    <t>364ед/2022 от 23.04.2022</t>
  </si>
  <si>
    <t xml:space="preserve">Полный комплекс работ по монтажу электротехнического оборудования, электроснабжения, систем автоматизации, выполнение пусконаладочных работ необходимых для ввода в работу ГА№4 в рамках строительства Усть-Среднеканской ГЭС </t>
  </si>
  <si>
    <t>07.2023</t>
  </si>
  <si>
    <t>ПС 110 кВ Кадаликан, Иркутская область, Бодайбинский район</t>
  </si>
  <si>
    <t>Заказчик: АО "Севзото"                                              РФ, 666904, Иркутская область, г.Бодайбо, ул. Красноармейская,83                                     Директор Сурвилло В.Г.</t>
  </si>
  <si>
    <t>Sz 77-22 от 10.04.2022
Доп.согл.1</t>
  </si>
  <si>
    <t xml:space="preserve">Выполнение СМР и ПНР по объекту "ВЛ 110 кВ и ПС 110 кВ Кадаликан" </t>
  </si>
  <si>
    <t>11.2022</t>
  </si>
  <si>
    <t>Горно-металлургический комбинат "Удокан" I очередь строительства, 
Забайкальский край, Каларский район,
п. Новая Чара – п. Удокан.</t>
  </si>
  <si>
    <t>Заказчик: Общество с ограниченной ответственностью "Удоканская медь"
674153, Забайкальский край, Каларский р-он, пос. Удокан, ул. Фабричная, дом 1. Генеральный директор Миронов Г.С.</t>
  </si>
  <si>
    <t>УМ-22-310 от 16.05.2022
доп.согл 1-2</t>
  </si>
  <si>
    <t>Пусконаладочные работы и поставка магистральных шинопроводов до 1 кВ на объекте "Горно-металлургический комбинат "Удокан". I очередь строительства на производительность 12,0 млн. тонн руды в год. "Обогатительная фабрика", "Гидрометаллургический завод"</t>
  </si>
  <si>
    <t>05.2023</t>
  </si>
  <si>
    <t>Передвижная мобильная подстанция 25 МВА 110/10 кВ, г. Петровапловск-Камчатский</t>
  </si>
  <si>
    <t>70/06-2022 от 27.06.2022</t>
  </si>
  <si>
    <t>Диагностика передвижной мобильной подстанции 25 МВА 110/10 кВ</t>
  </si>
  <si>
    <t>06.2022</t>
  </si>
  <si>
    <t xml:space="preserve">ПС 500/220/10 кВ БПП (Братский переключательный пункт), 
п.Турма, Иркутская область </t>
  </si>
  <si>
    <t>Заказчик: ООО «ЕвроСибЭнерго-инжиниринг»
664050,г. Иркутск, ул. Байкальская, д. 259
тел.: (3952) 794-683, факс: (3952) 794-546
Генеральный директор Борисычев А.В.</t>
  </si>
  <si>
    <t>72/22 от 25.07.2022  доп.согл 1-3</t>
  </si>
  <si>
    <t xml:space="preserve">Строительно-монтажные и пусконаладочные работы по объекту «Модернизация ПС 500/220/10 кВ БПП (Замена реакторов 500 кВ Р-1,2)» </t>
  </si>
  <si>
    <t>07.2022</t>
  </si>
  <si>
    <t>10.2023</t>
  </si>
  <si>
    <t xml:space="preserve">Тайшетская анодная фабрика, г.Тайшет, Иркутская область  
</t>
  </si>
  <si>
    <t>Заказчик: Общество с ограниченной ответственностью ОК "РУСАЛ Анодная фабрика"  
РФ, 665003, Иркутская обл., Тайшетский р-н, промплощадка ТаАЗ.                               Генеральный директор ООО "ОК РУСАЛ Промтехразвитие" Бенц В.А.</t>
  </si>
  <si>
    <t>ПТР-Д-22-333 от 05.07.2022</t>
  </si>
  <si>
    <t>Электромонтажные и пусконаладочные работы двухцепного токопровода 10 кВ с воздушной изоляцией. Второй этап строительства Тайшетской Анодной фабрики</t>
  </si>
  <si>
    <t>04.2023</t>
  </si>
  <si>
    <t>ВЛ 110 кВ Кропоткинская-Вернинская и ПС 110 кВ Вернинская (реконструкция),
п. Кропоткин, Иркутская область</t>
  </si>
  <si>
    <t>71/06-2022
 от 02.07.2022 
доп.согл.1-3</t>
  </si>
  <si>
    <t>Строительно-монтажные и пусконаладочные работы по строительству ВЛ 110 кВ Кропоткинская - Вернинская № 2 с отпайкой на РП Полюс и реконструкции ПС 110 кВ Вернинская</t>
  </si>
  <si>
    <t>010-821-22 от 25.07.2022</t>
  </si>
  <si>
    <t>Монтажные и пусконаладочные работы по замене масляных выключателей на вакуумные ячейки №20 РП-9 ПВиИК филиала АО «Группа»Илим» в г. Братске</t>
  </si>
  <si>
    <t>ПС 220 кВ Хани, Республика Саха (Якутия)</t>
  </si>
  <si>
    <t>Заказчик: Акционерное общество «Производственный комплекс ХК ЭЛЕКТРОЗАВОД» (АО ПК ХК Электрозавод)                                                      РФ, 107023, г. Москва,
ул. Электрозаводская, д. 21 
Тел. (495) 777-82-05
Генеральный директор Грашкин В.А.</t>
  </si>
  <si>
    <t>41/22-05-П от 21.07.2022</t>
  </si>
  <si>
    <t>ЭМР и ПНР - по ревизии активной части реактора типа РОМБС-16700/220-УХЛ1 ;
- по устранению течи масла расширительного бака реактора типа РОМБС-16700/220-УХЛ1,
эксплуатируемых на ПС 220 кВ «Хани», филиала ПАО «ФСК ЕЭС» - МЭС Востока</t>
  </si>
  <si>
    <t>08.2022</t>
  </si>
  <si>
    <t>Горно-металлургический комбинат "Удокан", Забайкальский край, Каларский район, п. Новая Чара – п. Удокан.</t>
  </si>
  <si>
    <t>Заказчик: Общество с ограниченной ответственностью "Удоканская медь"
674153, Забайкальский край, Каларский р-он, пос. Удокан, ул. Фабричная, дом 1. Директор по строительству технологического комплекса Кобзарь Д.В.</t>
  </si>
  <si>
    <t>УМ-22-488 от 17.08.2022</t>
  </si>
  <si>
    <t>Поставка, монтаж и пусконаладочные работы комплектных трансформаторных подстанций на объекте «Горно-металлургический комбинат «Удокан»</t>
  </si>
  <si>
    <t>Спортивные залы дзюдо СШОР Спартак, Иркутская область, г. Брастк</t>
  </si>
  <si>
    <t xml:space="preserve">Заказчик: ОГБУ «СШОР «Спартак»                 РФ, 665717, Иркутская область, г. Братск, ул. Комсомольская, 35                        и.о.директора Павлова О.Н.
</t>
  </si>
  <si>
    <t>594Д-40П-4010 от 01.09.2022</t>
  </si>
  <si>
    <t>Эксплуатационные испытания и замеры сопротивлений в электроустановках на объектах Заказчика.</t>
  </si>
  <si>
    <t>УВВС,  г.Норильск</t>
  </si>
  <si>
    <t>Заказчик: АО "Норильско-Таймырская энергетическая компания" (АО "НТЭК")                  РФ, 663305, Красноярский край, г. Норильск, ул. Ветеранов,19, тел.(3919) 431110          Генеральный директор Липин С.В.       Подрядчик: Акционерное общество "Таймырское предприятие Гидроэлектромонтаж" (АО ТП ГЭМ)                        и.о. генерального директора Андрейчев В.Б.</t>
  </si>
  <si>
    <t>1-11/2022 от 01.11.2022</t>
  </si>
  <si>
    <t xml:space="preserve">Электромонтажные и пусконаладочные работы по замене силовых трансформаторов, работы по разборке трансформатора на объектах УВВС  АО "НТЭК" </t>
  </si>
  <si>
    <t xml:space="preserve">Тайшетский алюминиевый завод, г.Тайшет, Иркутская область  
</t>
  </si>
  <si>
    <t>Общество с ограниченной ответственностью "РУСАЛ Тайшетский Алюминиевый Завод" (ООО РУСАЛ Тайшет") в лице ООО "ИСК"
РФ, 665023, Иркутская обл., Тайшетский р-н, с.Старый Алькушет, ул.Советская, д.42   Генеральный директор Перцев В.А.</t>
  </si>
  <si>
    <t>446С001С1132 от 
16.01.2023</t>
  </si>
  <si>
    <t>Работы в рамках по КП 17-C317 «Электромонтажные работы. Кабельные линии от РП 12 до КТП 12-1, 12-2, 12-3, 12-4, 12-5. Кабельные линии от КТП 12-1, 12-2, 12-3, 12-4, 12-5 до ЛЦ. ПНР»</t>
  </si>
  <si>
    <t>01.2023</t>
  </si>
  <si>
    <t>Испытание силового трансформатора, РЗА 110 кВ, испытание КРУЭ-110 кВ, ЗРУ-6ккВ</t>
  </si>
  <si>
    <t>Испытание оборудования ЗРУ-10 кВ, Релейная защита и автоматика оборудования 10 кВ</t>
  </si>
  <si>
    <t>Измерение сопротивления изоляции трансформатора, измерение параметров изоляции вводов 110 кВ, испытание изоляции главных и вторичных цепей, проверка трансформаторов тока и напряжения</t>
  </si>
  <si>
    <t>Испытание сборных и соединительных шин, измерение сопротивления изоляции, металлосвязь</t>
  </si>
  <si>
    <t>Испытание первичного оборудования, силового кабеля, РЗА оборудования</t>
  </si>
  <si>
    <t>РЗА оборудования КТП</t>
  </si>
  <si>
    <t xml:space="preserve"> Испытания и замеры сопротивлений в электроустановках</t>
  </si>
  <si>
    <t>Испытание трансформаторов</t>
  </si>
  <si>
    <t>Испытание, наладка ГА №4 и сопутствующего оборудования, испытание и наладка силового трансформатора</t>
  </si>
  <si>
    <t>Испытание реактора 220 кВ</t>
  </si>
  <si>
    <t>Испытание реактора 500 кВ, испытание вторичного навесного оборудования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</si>
  <si>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</si>
  <si>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</si>
  <si>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</si>
  <si>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</si>
  <si>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</si>
  <si>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</si>
  <si>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</si>
  <si>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</si>
  <si>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</si>
  <si>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</si>
  <si>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</si>
  <si>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</si>
  <si>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</si>
  <si>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</si>
  <si>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</si>
  <si>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</si>
  <si>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</si>
  <si>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</si>
  <si>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</si>
  <si>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</si>
  <si>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</si>
  <si>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</si>
  <si>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</si>
  <si>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</si>
  <si>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</si>
  <si>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</si>
  <si>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</si>
  <si>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</si>
  <si>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</si>
  <si>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</si>
  <si>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</si>
  <si>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</si>
  <si>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</si>
  <si>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</si>
  <si>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</si>
  <si>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</si>
  <si>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</si>
  <si>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</si>
  <si>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</si>
  <si>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</si>
  <si>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ПС 220 кВ Рассолы, Усть-Кутский район, Иркутская область</t>
  </si>
  <si>
    <t>Заказчик: ООО "Иркутская нефтяная компания"
664007, г. Иркутск, пр-т Большой     Литейный, 4                                                                             Управляющий директор по правовой работе и региональной политике, член Правления Милов Е.Ю.</t>
  </si>
  <si>
    <t>Дополнение №19/21-7349 от 19.01.2023 к договору 19/21 от 17.06.2021</t>
  </si>
  <si>
    <t>Выполнение полного комплекса строительно-монтажных и пусконаладочных работ по строительству ПС 220 кВ Рассолы</t>
  </si>
  <si>
    <t>05.2024</t>
  </si>
  <si>
    <t>Заказчик: Общество с ограниченной ответственностью "РУСАЛ Тайшетский Алюминиевый Завод" (ООО РУСАЛ Тайшет") в лице ООО "ИСК"
РФ, 665023, Иркутская обл., Тайшетский р-н, с.Старый Алькушет, ул.Советская, д.42   Генеральный директор Перцев В.А.</t>
  </si>
  <si>
    <t xml:space="preserve">Тайшетский алюминиевый завод, г.Тайшет, Иркутская область  </t>
  </si>
  <si>
    <t xml:space="preserve">Заказчик: Общество с ограниченной ответственностью "РУСАЛ Тайшетский Алюминиевый Завод" (ООО РУСАЛ Тайшет") в лице Юшманова А.В.
РФ, 665023, Иркутская обл., Тайшетский р-н, с.Старый Алькушет, ул.Советская, д.42   </t>
  </si>
  <si>
    <t>446С001С1143 
от 25.01.2023
доп.согл.1-2</t>
  </si>
  <si>
    <t>Работы в рамках по КП 14-C326 «Монтаж сетей автоматизации от ПСУ1 до Миксеров № 3, 4 и Металлотракта. ПНР ВЛМ № 1, миксеров № 3, 4 (115 тн.), технологического оборудования комплекса плоских слитков № 1»</t>
  </si>
  <si>
    <t>09.2023</t>
  </si>
  <si>
    <t>Комплекс нефтеперерабатывающих и нефтехимических заводов в г. Нижнекамск, Республика Татарстан</t>
  </si>
  <si>
    <t>Заказчик: ПАО «Татнефть» им. В.Д. Шашина Подрядчик: ООО «Гидроэлектромонтаж»
Юридический адрес: 423800, Российская Федерация, Республика Татарстан, 
г. Набережные Челны, Тэцовский проезд, д. 58
Почтовый адрес: 423810, Республика Татарстан, город Набережные Челны, а/я 101 Директор Глухов В.А.</t>
  </si>
  <si>
    <t>13СП-7/21/2859-2023 от 13.04.2023</t>
  </si>
  <si>
    <t>Пусконаладочные работы систем АСДУЭ, АСТУЭ водоблока №4. тит. 177 секция 7670, а именно: РТП с контроллерной для тит. 177 (Водоблок №4) КНП и НХЗ АО «Танеко»</t>
  </si>
  <si>
    <t>08.2023</t>
  </si>
  <si>
    <t>3.07.0.06.1.2023.0590 от 04.05.2023</t>
  </si>
  <si>
    <t xml:space="preserve">Пусконаладочные работы электротехнического оборудования систем электроснабжения и автоматизации в рамках завершения строительства Усть-Среднеканской ГЭС </t>
  </si>
  <si>
    <t>06.2024</t>
  </si>
  <si>
    <t>ПС 500/110/35 кВ Тайшет,
Иркутская область</t>
  </si>
  <si>
    <t>Заказчик: ОАО «Иркутская электросетевая компания»
664033, г. Иркутск, ул. Лермонтова 257,        тел: (3952) 792-459, факс: (3952) 792-461
Генеральный директор  Новиков Е.А.
Филиал ОАО «Иркутская электросетевая компания» Западные электрические сети 
665253 г.Тулун, пер.Энергетиков 6 
Директор филиала Аверьянов С.А.</t>
  </si>
  <si>
    <t>158/ЗЭС-23 от 10.05.2023</t>
  </si>
  <si>
    <t>Оказание услуг по техническому обслуживанию устройств РЗА присоединений 110-500 кВ на ПС Тайшет</t>
  </si>
  <si>
    <t>Нерюнгринская ГРЭС, Республика Саха (Якутия)</t>
  </si>
  <si>
    <t xml:space="preserve">Заказчик - АО "ДГК" Хабаровск                                                     Подрядчик: АО "Гидроэлектромонтаж" 
675000,г. Благовещенск, ул. Пионерская,204    
Генеральный директор Васильев В.А. </t>
  </si>
  <si>
    <t>197Д-70П-3012 от 25.05.2023</t>
  </si>
  <si>
    <t>Работы по повышению надежности работы электрооборудования Нерюнгринской ГРЭС</t>
  </si>
  <si>
    <t>ПС 220/110/35 кВ Коршуниха, Иркутская область</t>
  </si>
  <si>
    <t>70/23 от 25.05.2023</t>
  </si>
  <si>
    <t>Строительно-монтажные и пусконаладочные работы по объекту "Реконструкция ПС 220/110/35 кВ Коршуниха (замена АТ-1,2 2х125 МВА на 2х200 МВА, прирост мощности 150 МВА)"</t>
  </si>
  <si>
    <t>12.2024</t>
  </si>
  <si>
    <t>ПС 110 кВ Артемовская, Бодайбинский район, Иркутская область</t>
  </si>
  <si>
    <t>ВЭСТ-18-23 от 05.06.2023           доп.согл1</t>
  </si>
  <si>
    <t>Комплекс работ по реконструкции ПС 110 кВ Артемовская с заменой силового трансформатора Т2 10 МВА на 16 МВА</t>
  </si>
  <si>
    <t>06.2023</t>
  </si>
  <si>
    <t xml:space="preserve">ПС 500 кВ АГХК, Свободненский район, Амурская область </t>
  </si>
  <si>
    <t>Заказчик: ООО "Амурский газохимический комплекс"                                                  676436, Амурская область, Свободненский р-н, с Черниговка, Октябрьская ул., д. 18в, помещ. 9                                                       Подрядчик: АО "Гидроэлектромонтаж" 
675000,г. Благовещенск, ул. Пионерская,204    
Генеральный директор Васильев В.А.</t>
  </si>
  <si>
    <t>2388-023-СП от 13.06.2023              доп согл.1</t>
  </si>
  <si>
    <t>Пусконаладочные работы на объекте ПС 500 кВ титул 8500 «ПС 500 кВ АГХК» в рамках реализации проекта «Амурский газохимический комплекс (ГХК)»</t>
  </si>
  <si>
    <t>3.07.0.08.1.2023.0795 от 15.06.2023</t>
  </si>
  <si>
    <t>Работы по системам автоматизации, необходимых для завершения строительства Усть-Среднеканской ГЭС</t>
  </si>
  <si>
    <t>ПС 220 кВ Чаянда, Республика Саха (Якутия)</t>
  </si>
  <si>
    <t xml:space="preserve">Заказчик: ПАО «Россети ФСК ЕЭС»                                               Подрядчик: ООО ПО «Радиан» 
664048, г. Иркутск, ул. Розы Люксембург, д. 184, оф. 342                                                   Тел. (3952) 444-657, (3952) 444-522             Исполнительный директор Трубников С.Н. </t>
  </si>
  <si>
    <t>241//ПО от 30.06.2023 доп солг. 1-3</t>
  </si>
  <si>
    <t>Комплекс пусконаладочных работ по строительству ПП 220 кВ Нюя с заходами ВЛ 220 кВ Городская – Пеледуй с отпайкой на ПС НПС-11 в РУ 220 кВ ПП 220 кВ Нюя ориентировочной протяженностью 4 км (4х1 км), строительство двухцепной ВЛ 220 кВ Нюя – Чаянда ориентировочной протяженностью 149 км (2х74,5 км), строительство ПС 220 кВ Чаянда трансформаторной мощностью 126 МВА (2х63 МВА)»</t>
  </si>
  <si>
    <t>03.2024</t>
  </si>
  <si>
    <t xml:space="preserve">Заказчик: Общество с ограниченной ответственностью "РУСАЛ Тайшетский алюминиевый завод" в лице Генерального директора ООО "ОК РУСАЛ Промтехразвитие" Бенц В.А.
РФ, 665003, Иркутская обл., Тайшетский р-н, промплощадка ТаАЗ.                               </t>
  </si>
  <si>
    <t>ПТР-Д-23-431 
от 24.07.2023</t>
  </si>
  <si>
    <t>Работы по монтажу и пусконаладке электротехнического оборудования трансформатора Т-4 220 кВ для расширения схемы электроснабжения ТаАЗа на объектах: "Закрытое распределительное устройство 220 кВ (ЗРУ)" и "Главная понизительная подстанция (ГПП) 220/10 кВ"</t>
  </si>
  <si>
    <t>ПС 110 кВ Вернинская, Бодайбинский район, Иркутская область</t>
  </si>
  <si>
    <t>ВЭСТ-23-23 от 10.08.2023        доп.согл 1</t>
  </si>
  <si>
    <t>Комплекс работ по реконструкции ПС 110 кВ Вернинская с включением в работу новой ММПС мощностью 25 МВА</t>
  </si>
  <si>
    <t xml:space="preserve">ПС 110 кВ АГХК, Свободненский район, Амурская область </t>
  </si>
  <si>
    <t>2469/1-023-СП от 24.08.2023              доп согл.1-2</t>
  </si>
  <si>
    <t>Выполнение электромонтажных и пусконаладочных работ на объекте ГПП-1 ПС 110 кВ титул 8500 «ПС 110 кВ АГХК» в рамках реализации проекта «Амурский газохимический комплекс (ГХК)»</t>
  </si>
  <si>
    <t>Нежданинское золоторудное месторождение, Томпонский район, Республика Саха (Якутия)</t>
  </si>
  <si>
    <t>ЮВГК 2(03-1-0299) от 16.10.2023</t>
  </si>
  <si>
    <t>Комплекс работ (разработка документации, поставка оборудования, пусконаладочные работы) по синхронизации работы дизельной электростанции (ДЭС) и ПС 110 кВ Нежданинская</t>
  </si>
  <si>
    <t>10.2024</t>
  </si>
  <si>
    <t>Прозвонка и испытание кабельных линий</t>
  </si>
  <si>
    <t>Комплекс работ по проверке и настройке оборудования АСУ ТП</t>
  </si>
  <si>
    <t>Комплекс работ по проверке и настройке оборудования АСДУЭ и АСТУЭ</t>
  </si>
  <si>
    <t>Комплекс пусконаладочных работ электротехнического оборудования и оборудования АСУ ТП в рамках завершения строительства Усть-Среднеканской ГЭС</t>
  </si>
  <si>
    <t>Комплекс работ по тех.обслуживанию оборудования РЗА и ВЧ связи</t>
  </si>
  <si>
    <t>Комплекс пусконаладочных работ оборудования ОРУ, ОПУ по замене силового трансформатора Т2</t>
  </si>
  <si>
    <t>Комплекс пусконаладочных работ кабельных связей и оборудования АСУ ТП, АИИСКУЭ в рамках завершения строительства ПС Чаянда</t>
  </si>
  <si>
    <t>Испытание трансформатора Т-4, выполнение работ по РЗА и пуску оборудования в работу</t>
  </si>
  <si>
    <t>ПНР двух ячеек 10кВ, оборудование ОРУ</t>
  </si>
  <si>
    <t xml:space="preserve">ПНР оборудования ГПП-1 </t>
  </si>
  <si>
    <t>Комплекс работ по монтажу и наладке установленного оборудования  ПС Нежданинская</t>
  </si>
  <si>
    <t>ОПУ 220/110 кВ, РЗА, ВЧ оборудование,  АСУТП и АИИСКУЭ                                                                           Испытания оборудования ОРУ 220/110/35 кВ</t>
  </si>
  <si>
    <t>Комплекс ПНР силовых трансформаторов, оборудования ОРУ220/110/10 кВ, ОПУ220/110/10 кВ  ВЧ, РЗА,  АСУ ТП в рамках реконструкции ПС Коршуниха</t>
  </si>
  <si>
    <t>Пусконаладочные работы на объекте ПС 500 кВ титул 8500 «ПС 500 кВ АГХК</t>
  </si>
  <si>
    <t>ПНР оборудования Усть-Среднеканской ГЭС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</si>
  <si>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</si>
  <si>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</si>
  <si>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</si>
  <si>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</si>
  <si>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</si>
  <si>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</si>
  <si>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</si>
  <si>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</si>
  <si>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</si>
  <si>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</si>
  <si>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</si>
  <si>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</si>
  <si>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</si>
  <si>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</si>
  <si>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</si>
  <si>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</si>
  <si>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Опыт выполнения пусконаладочных работ за период с 2008 по 2025 гг.</t>
  </si>
  <si>
    <t>ПС 110 кВ Албазино, Хабаровский край</t>
  </si>
  <si>
    <t>Заказчик: ООО "Ресурсы Албазино" (входит в состав компании Полиметалл)                                                682640, Хабаровский край, г. Амурск, пр.Мира, 24А. Уполномоченный представитель: Толстых Г.Е.</t>
  </si>
  <si>
    <t>РА 1(01-1-1255) 
от 14.02.2024
доп.согл 1-3</t>
  </si>
  <si>
    <t>Работы по строительству "под ключ" ПС 110 кВ Албазино</t>
  </si>
  <si>
    <t>02.2024</t>
  </si>
  <si>
    <t>10.2025</t>
  </si>
  <si>
    <t>ПС 220 кВ Таборная с питающей ВЛ 220 кВ Золотинка-Таборная, Республика Саха (Якутия)</t>
  </si>
  <si>
    <t>Заказчик: ООО "Рудник Таборный"                       
Почтовый адрес: Российская Федерация 678100 Республика Саха (Якутия), Олекминский улус (район), г. Олекминск, ул. Бровина, 4а Представитель по доверенности: Снопок А.Ю.</t>
  </si>
  <si>
    <t>PCON-0814-2024-000568 от 22.05.2024
доп.согл 3</t>
  </si>
  <si>
    <t>Строительно-монтажные, пусконаладочные работы и поставка оборудования по титулу "Строительство ПС 220 кВ Таборная с питающей ВЛ 220 кВ Золотинка-Таборная"</t>
  </si>
  <si>
    <t>по наст.время</t>
  </si>
  <si>
    <t>ПС 35/10 кВ КС-2К, реконструкция ПС 35/10 кВ Салтыково, Иркутская область</t>
  </si>
  <si>
    <t>Заказчик: ПАО Газпром                         Подрядчик: ОАО «Иркутская электросетевая компания»                                                          664033, г. Иркутск, ул. Лермонтова 257,            тел: (3952) 792-459, факс: (3952) 792-461 
Генеральный директор Конопелько Д.В.</t>
  </si>
  <si>
    <t>6-СЭС-2024-ОКС-ц    от 06.06.2024           доп.согл 1</t>
  </si>
  <si>
    <t>Строительство  ПС 35/10 кВ «КС-2К» (2*6,3МВА), ВЛ 35 кВ  «Салтыково - «КС-2К» (12км), отпаечной ВЛ 35 кВ от ВЛ 35 кВ  «Салтыково-Петропавловск» (2км), реконструкция: ПС 35/10 кВ «Салтыково» (1ячейка)», в части строительства ПС «КС-2К» и реконструкции ПС «Салтыково»</t>
  </si>
  <si>
    <t>ПС 110/35 кВ Промплощадка, Республика Саха (Якутия)</t>
  </si>
  <si>
    <t>Заказчик: ООО "Эльгауголь"                                           678962, Республика Саха (Якутия), г. Нерюнгри, пр-т Лужников, 3/2, тел. (41147) 36-201                     Представитель по доверенности: Бундуков О.В.</t>
  </si>
  <si>
    <t>18 от 08.08.2024</t>
  </si>
  <si>
    <t>Выполнение комплекса работ по строительству ПС 110/35 кВ "Промплощадка", включая: проектно-изыскательские работы по проведению инженерных изысканий и по разработке технической и сметной части проектной и рабочей документации, поставку материалов и оборудования, строительно-монтажные работы, пусконаладочные работы, ПД и РД</t>
  </si>
  <si>
    <t>08.2024</t>
  </si>
  <si>
    <t xml:space="preserve"> ПС 220 кВ Чертово Корыто</t>
  </si>
  <si>
    <t>Заказчик: ООО «УК Полюс»                                 Покупатель: АО "Тонода"
Почтовый адрес: 
666904, Иркутская обл., Бодайбо г, Мира ул., дом №2, представитель по довереннности Верещагин А.И.</t>
  </si>
  <si>
    <t>Поставка  ПС 220 кВ Чертово Корыто</t>
  </si>
  <si>
    <t>03.2025</t>
  </si>
  <si>
    <t>ТП 220/35/10 кВ Витим, Иркутская область</t>
  </si>
  <si>
    <t>Заказчик: ООО "Полюс Сухой Лог"                               Подрядчик: ООО «ЦУП ЧЭАЗ»                                           123610, г.Москва, Краснопресненская набережная,12 под.3                                                               Генеральный директор Еремин О.И.</t>
  </si>
  <si>
    <t>ДП-16/25 от 04.03.2025</t>
  </si>
  <si>
    <t>Пусконаладочные работы оборудования  ТП 220/35/10 кВ 2х100 000 и 2х160 000 кВ Витим с целью электроснабжения потребилетей ГОК "Сухой ЛОГ"</t>
  </si>
  <si>
    <t xml:space="preserve">ПС 500 кВ Озерная,                                  г.Тайшет, Иркутская область </t>
  </si>
  <si>
    <t>Заказчик: ОАО «Иркутская электросетевая компания»
664033, г. Иркутск, ул. Лермонтова 257,        тел: (3952) 792-459, факс: (3952) 792-461
Филиал ОАО «Иркутская электросетевая компания» Западные электрические сети 
665253 г.Тулун, пер.Энергетиков 6 
Гл.инженер  Хромцов А.В.</t>
  </si>
  <si>
    <t>156/ЗЭС-25
от 04.06.2025</t>
  </si>
  <si>
    <t>Техническое обслуживание устройств РЗА и ПА присоединений 220-500 кВ на ПС 500 кВ Озерная</t>
  </si>
  <si>
    <t>06.2025</t>
  </si>
  <si>
    <t>ПС Тайшет, г. Тайшет, Иркутская область</t>
  </si>
  <si>
    <t>Заказчик: ОАО «Иркутская электросетевая компания»
664033, г. Иркутск, ул. Лермонтова 257,        тел: (3952) 792-459, факс: (3952) 792-461
Филиал ОАО «Иркутская электросетевая компания» Западные электрические сети 
665253 г.Тулун, пер.Энергетиков 6 
Директор филиала Утюмов А.Е.</t>
  </si>
  <si>
    <t>155/ЗЭС-25
от 04.06.2025</t>
  </si>
  <si>
    <t>Техническое обслуживание устройств РЗА и ПА оборудования 35-500 кВ на ПС Тайшет</t>
  </si>
  <si>
    <t xml:space="preserve">ПС 35/10 кВ (2*2,5 МВА) ЛПУМГ-1, реконструкция ПС 220 кВ Киренга, Иркутская область </t>
  </si>
  <si>
    <t>Заказчик:ПАО Газпром                         Подрядчик: ОАО "Иркутская электросетевая компания"                                                      664033, г. Иркутск, ул. Лермонтова 257,     Тел: (3952) 792-459 Факс: (3952) 792-461 
Генеральный директор Щекин А.И.</t>
  </si>
  <si>
    <t xml:space="preserve">7-СЭС-2025-ОКС-ц от 14.07.2025 </t>
  </si>
  <si>
    <t>Выполнение строительно-монтажных, наладочных работ, поставка оборудования по объекту: О_С1 Строительство новой ПС 35/10 кВ (2*2,5 МВА); двух ВЛ 35 кВ от ПС 220 кВ Киренга до новой ПС 35 кВ (общей протяженностью 10,4 км); двух ВЛ 10 кВ ЛПУМГ-1,2 (общей протяженностью 9 км). Реконструкция ПС 220 кВ Киренга с установкой двух линейных ячеек 35 кВ для технологического присоединения ПАО "Газпром". Объем работ в части Строительства новой ПС 35/10 кВ (2*2,5 МВА); Реконструкция ПС 220 кВ Киренга с установкой двух линейных ячеек 35 кВ.</t>
  </si>
  <si>
    <t>07.2025</t>
  </si>
  <si>
    <t>РП 6 кВ РП-143 водозаборных сооружений о. Сосновый (Казачий), Касноярский край</t>
  </si>
  <si>
    <t>Заказчик: АО "УК ГидроОГК" 117393, г. Москва, ул. Архитектора Власова, д.51 Генеральный директор Миронов Ю.В.</t>
  </si>
  <si>
    <t>Б-1 от 21.08.2025</t>
  </si>
  <si>
    <t>Выполнение комплекса проектных и строительно-монтажных работ «под ключ» по объекту капитального строительства «Электроснабжение распределительного пункта 6 кВ РП-143 водозаборных сооружений о. Сосновый (Казачий) со стороны правого берега р. Енисей от ПС 35 кВ 117 «ЛПК»</t>
  </si>
  <si>
    <t>08.2025</t>
  </si>
  <si>
    <t>РТП 6/0,4 кВ и 2КТПНУ-1000/6/0,4 ООО «Рудник Таборный»</t>
  </si>
  <si>
    <t>PCON-0814-2025-000252 от 05.09.2025</t>
  </si>
  <si>
    <t>Выполнение комплекса пусконаладочных работ по объектам ООО «Рудник Таборный»: «РТП 6/0,4 кВ «Горно-перерабатывающий комплекс. Промплощадка кучного выщелачивания (конвейер 257 и мобильные конвейеры)» и 2КТПНУ-1000/6/0,4 «Горно-перерабатывающий комплекс. Площадка рудоподготовки ТП6/0,4 кВ (Конвейер 256)»</t>
  </si>
  <si>
    <t>09.2025</t>
  </si>
  <si>
    <t>12.2025</t>
  </si>
  <si>
    <t>Комплекс пусконаладочных работ оборудования по титулу "Строительство ПС 220кВ Таборная с питающей ВЛ220кВ Золотинка-Таботная"</t>
  </si>
  <si>
    <t>Комплекс пусконаладочных работ оборудования 35/10 кВ "КС-2К", ВВ испытания и настройка релейной защиты смонтированного оборудования ПС 35/10 кВ "Салтыково"</t>
  </si>
  <si>
    <t>Комплекс пусконаладочных работ на объекте ПС 110 кВ "Албазино"</t>
  </si>
  <si>
    <t>Комплекс пусконаладочных работ силового оборудования, АСУ ТП и связи ПС 110/35 кВ "Промплощадка"</t>
  </si>
  <si>
    <t>Комплекс пусконаладочных работ по РЗА, ПА, АИИСКУЭ, АСУ ТП и Линиям связи.</t>
  </si>
  <si>
    <t>ТН-12-25
от 13.03.2025</t>
  </si>
  <si>
    <t>Выполнение комплекса пусконаладочных работ на силовом оборудовании.</t>
  </si>
  <si>
    <t>Выполнение комплекса пусконаладочных работ на силовом оборудовании, настройка терминалов РЗА, оборудования АСУ ТП, АИИСКУЭ, связи.</t>
  </si>
  <si>
    <t>Заказчик: ОАО «ФСК ЕЭС» 
117630, г. Москва, ул. Академика Челомея, д.5А.                                                                                         
Филиал ОАО «ФСК ЕЭС»- МЭС Сибири.
660099, Красноярский край, Красноярск, ул. Ады Лебедевой, 117, тел. (391) 265-95-00 
Генеральный директор Зильберман С.М.</t>
  </si>
  <si>
    <t>Заказчик: ПАО «ФСК ЕЭС» 
117630, г. Москва, ул. Академика Челомея, 5А    
Филиал ПАО «ФСК ЕЭС»- МЭС Сибири.
660099, Красноярский край, Красноярск, ул. Ады Лебедевой, 117, тел. (391) 265-95-00  Генеральный директор Зильберман С.М.
Генподрядчик: АО "Стройтрансгаз"
123112, г. Москва, ул. Тестовская, д. 10                   
Подрядчик: АО "Энергетические технологии"
664033, г. Иркутск, ул. Лермонтова, 130, оф. 110, Тел.: (3952) 423-523
Генеральный директор Черных О.Г.</t>
  </si>
  <si>
    <t>Заказчик: АО "Витимэнергострой"
664003, г Иркутск, ул. Ленина, 21
Тел.89149266010 Тел/факс: 8(3952) 33-60-35
Генеральный директор Заиграев А.С.</t>
  </si>
  <si>
    <t xml:space="preserve">12.2019
</t>
  </si>
  <si>
    <t>Выполнение комплекса пусконаладочных работ на силовом оборудовании, настройка терминалов РЗА, ПА, ВЧ-связи, оборудования АСУ ТП и АИИСКУЭ.</t>
  </si>
  <si>
    <t>Объем работ (ПНР), тыс. руб. без НДС</t>
  </si>
  <si>
    <t>01.04.2025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</si>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</sst>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4" fillId="3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 indent="1"/>
    </xf>
    <xf numFmtId="49" fontId="1" fillId="0" borderId="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indent="1"/>
    </xf>
    <xf numFmtId="49" fontId="2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1" fillId="0" borderId="7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0" fontId="8" fillId="0" borderId="0" xfId="0" applyFont="1"/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left" vertical="top" wrapText="1" indent="1"/>
    </xf>
    <xf numFmtId="49" fontId="1" fillId="0" borderId="9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left" vertical="top" indent="1"/>
    </xf>
    <xf numFmtId="2" fontId="1" fillId="0" borderId="9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49" fontId="2" fillId="4" borderId="6" xfId="0" applyNumberFormat="1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 indent="1"/>
    </xf>
    <xf numFmtId="49" fontId="2" fillId="5" borderId="6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 indent="1"/>
    </xf>
    <xf numFmtId="2" fontId="3" fillId="0" borderId="1" xfId="0" applyNumberFormat="1" applyFont="1" applyBorder="1" applyAlignment="1">
      <alignment horizontal="left" vertical="top" wrapText="1" indent="1"/>
    </xf>
    <xf numFmtId="49" fontId="11" fillId="0" borderId="1" xfId="0" applyNumberFormat="1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indent="1"/>
    </xf>
    <xf numFmtId="14" fontId="3" fillId="0" borderId="0" xfId="0" applyNumberFormat="1" applyFont="1" applyAlignment="1">
      <alignment horizontal="left" vertical="top" indent="1"/>
    </xf>
    <xf numFmtId="49" fontId="11" fillId="0" borderId="1" xfId="0" applyNumberFormat="1" applyFont="1" applyBorder="1" applyAlignment="1">
      <alignment horizontal="left" vertical="top" indent="1"/>
    </xf>
    <xf numFmtId="49" fontId="11" fillId="0" borderId="1" xfId="0" applyNumberFormat="1" applyFont="1" applyBorder="1" applyAlignment="1" applyProtection="1">
      <alignment horizontal="left" vertical="top" wrapText="1" inden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 inden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2"/>
    </xf>
    <xf numFmtId="3" fontId="3" fillId="0" borderId="11" xfId="0" applyNumberFormat="1" applyFont="1" applyBorder="1" applyAlignment="1">
      <alignment horizontal="left" vertical="top" wrapText="1" indent="1"/>
    </xf>
    <xf numFmtId="49" fontId="11" fillId="6" borderId="1" xfId="0" applyNumberFormat="1" applyFont="1" applyFill="1" applyBorder="1" applyAlignment="1">
      <alignment horizontal="left" vertical="top" wrapText="1" indent="1"/>
    </xf>
    <xf numFmtId="49" fontId="3" fillId="6" borderId="1" xfId="0" applyNumberFormat="1" applyFont="1" applyFill="1" applyBorder="1" applyAlignment="1">
      <alignment horizontal="left" vertical="top" wrapText="1" indent="1"/>
    </xf>
    <xf numFmtId="49" fontId="3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indent="1"/>
    </xf>
    <xf numFmtId="49" fontId="3" fillId="0" borderId="12" xfId="0" applyNumberFormat="1" applyFont="1" applyBorder="1" applyAlignment="1">
      <alignment horizontal="left" vertical="top" indent="1"/>
    </xf>
    <xf numFmtId="3" fontId="3" fillId="0" borderId="2" xfId="0" applyNumberFormat="1" applyFont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49" fontId="3" fillId="0" borderId="1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wrapText="1" indent="1"/>
    </xf>
    <xf numFmtId="0" fontId="3" fillId="0" borderId="1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 indent="1"/>
    </xf>
    <xf numFmtId="0" fontId="3" fillId="0" borderId="1" xfId="1" applyFont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49" fontId="11" fillId="0" borderId="1" xfId="0" applyNumberFormat="1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indent="1"/>
    </xf>
    <xf numFmtId="49" fontId="3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indent="1"/>
    </xf>
    <xf numFmtId="3" fontId="3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2" fontId="1" fillId="0" borderId="2" xfId="0" applyNumberFormat="1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2" fontId="1" fillId="0" borderId="4" xfId="0" applyNumberFormat="1" applyFont="1" applyBorder="1" applyAlignment="1">
      <alignment horizontal="left" vertical="top" wrapText="1" indent="1"/>
    </xf>
    <xf numFmtId="0" fontId="2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октябрь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5"/>
  <sheetViews>
    <sheetView topLeftCell="A222" zoomScale="110" zoomScaleNormal="110" workbookViewId="0">
      <selection activeCell="B69" sqref="B69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140625" style="1" customWidth="1"/>
    <col min="5" max="5" width="10.42578125" style="1" customWidth="1"/>
    <col min="6" max="6" width="12.42578125" style="1" customWidth="1"/>
    <col min="7" max="7" width="11.42578125" style="1" customWidth="1"/>
    <col min="8" max="8" width="38.28515625" style="1" customWidth="1"/>
    <col min="9" max="9" width="9.85546875" style="1" customWidth="1"/>
    <col min="10" max="10" width="20.42578125" style="1" customWidth="1"/>
    <col min="11" max="16384" width="9.140625" style="1"/>
  </cols>
  <sheetData>
    <row r="2" spans="1:10" x14ac:dyDescent="0.2">
      <c r="B2" s="166" t="s">
        <v>39</v>
      </c>
      <c r="C2" s="166"/>
      <c r="D2" s="166"/>
      <c r="E2" s="166"/>
      <c r="F2" s="166"/>
      <c r="G2" s="166"/>
      <c r="H2" s="166"/>
      <c r="I2" s="166"/>
    </row>
    <row r="3" spans="1:10" x14ac:dyDescent="0.2">
      <c r="B3" s="166" t="s">
        <v>40</v>
      </c>
      <c r="C3" s="166"/>
      <c r="D3" s="166"/>
      <c r="E3" s="166"/>
      <c r="F3" s="166"/>
      <c r="G3" s="166"/>
      <c r="H3" s="166"/>
      <c r="I3" s="166"/>
    </row>
    <row r="4" spans="1:10" x14ac:dyDescent="0.2">
      <c r="B4" s="166" t="s">
        <v>41</v>
      </c>
      <c r="C4" s="166"/>
      <c r="D4" s="166"/>
      <c r="E4" s="166"/>
      <c r="F4" s="166"/>
      <c r="G4" s="166"/>
      <c r="H4" s="166"/>
      <c r="I4" s="166"/>
    </row>
    <row r="5" spans="1:10" ht="15.6" customHeight="1" x14ac:dyDescent="0.2">
      <c r="B5" s="8"/>
      <c r="C5" s="8"/>
      <c r="D5" s="8"/>
      <c r="E5" s="8"/>
      <c r="F5" s="10">
        <v>1</v>
      </c>
      <c r="G5" s="8"/>
      <c r="H5" s="8"/>
      <c r="I5" s="8"/>
    </row>
    <row r="6" spans="1:10" ht="25.5" customHeight="1" x14ac:dyDescent="0.2">
      <c r="A6" s="167" t="s">
        <v>65</v>
      </c>
      <c r="B6" s="167" t="s">
        <v>0</v>
      </c>
      <c r="C6" s="169" t="s">
        <v>807</v>
      </c>
      <c r="D6" s="171" t="s">
        <v>1</v>
      </c>
      <c r="E6" s="171"/>
      <c r="F6" s="171" t="s">
        <v>43</v>
      </c>
      <c r="G6" s="171"/>
      <c r="H6" s="171" t="s">
        <v>44</v>
      </c>
      <c r="I6" s="171" t="s">
        <v>45</v>
      </c>
    </row>
    <row r="7" spans="1:10" ht="56.45" customHeight="1" x14ac:dyDescent="0.2">
      <c r="A7" s="168"/>
      <c r="B7" s="168"/>
      <c r="C7" s="170"/>
      <c r="D7" s="6" t="s">
        <v>2</v>
      </c>
      <c r="E7" s="22" t="s">
        <v>42</v>
      </c>
      <c r="F7" s="6" t="s">
        <v>3</v>
      </c>
      <c r="G7" s="6" t="s">
        <v>33</v>
      </c>
      <c r="H7" s="171"/>
      <c r="I7" s="171"/>
      <c r="J7" s="1" t="s">
        <v>346</v>
      </c>
    </row>
    <row r="8" spans="1:10" ht="11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10" ht="40.5" customHeight="1" x14ac:dyDescent="0.2">
      <c r="A9" s="25" t="s">
        <v>116</v>
      </c>
      <c r="B9" s="7" t="s">
        <v>834</v>
      </c>
      <c r="C9" s="163" t="s">
        <v>117</v>
      </c>
      <c r="D9" s="18"/>
      <c r="E9" s="18"/>
      <c r="F9" s="20"/>
      <c r="G9" s="20"/>
      <c r="H9" s="26"/>
      <c r="I9" s="14"/>
    </row>
    <row r="10" spans="1:10" ht="60" x14ac:dyDescent="0.2">
      <c r="A10" s="16" t="s">
        <v>66</v>
      </c>
      <c r="B10" s="30" t="s">
        <v>835</v>
      </c>
      <c r="C10" s="164"/>
      <c r="D10" s="19" t="s">
        <v>46</v>
      </c>
      <c r="E10" s="19" t="s">
        <v>4</v>
      </c>
      <c r="F10" s="21" t="s">
        <v>852</v>
      </c>
      <c r="G10" s="21" t="e">
        <f>F10-(53737)/1000*$F$5</f>
        <v>#VALUE!</v>
      </c>
      <c r="H10" s="27" t="s">
        <v>47</v>
      </c>
      <c r="I10" s="15"/>
    </row>
    <row r="11" spans="1:10" ht="48" x14ac:dyDescent="0.2">
      <c r="A11" s="16" t="s">
        <v>67</v>
      </c>
      <c r="B11" s="30" t="s">
        <v>242</v>
      </c>
      <c r="C11" s="164"/>
      <c r="D11" s="19" t="s">
        <v>48</v>
      </c>
      <c r="E11" s="19" t="s">
        <v>52</v>
      </c>
      <c r="F11" s="21">
        <f>(3127000/1.18)/1000*$F$5</f>
        <v>2650</v>
      </c>
      <c r="G11" s="21">
        <f>F11-(0)/1000*$F$5</f>
        <v>2650</v>
      </c>
      <c r="H11" s="27" t="s">
        <v>647</v>
      </c>
      <c r="I11" s="15"/>
    </row>
    <row r="12" spans="1:10" ht="36" x14ac:dyDescent="0.2">
      <c r="A12" s="16" t="s">
        <v>68</v>
      </c>
      <c r="B12" s="30" t="s">
        <v>243</v>
      </c>
      <c r="C12" s="164"/>
      <c r="D12" s="19" t="s">
        <v>12</v>
      </c>
      <c r="E12" s="19" t="s">
        <v>49</v>
      </c>
      <c r="F12" s="21">
        <f>(11142291.6/1.18)/1000*$F$5</f>
        <v>9442.6200000000008</v>
      </c>
      <c r="G12" s="21">
        <f>F12-(7388413.6)/1000*$F$5</f>
        <v>2054.2064000000009</v>
      </c>
      <c r="H12" s="27" t="s">
        <v>50</v>
      </c>
      <c r="I12" s="15"/>
    </row>
    <row r="13" spans="1:10" ht="60" x14ac:dyDescent="0.2">
      <c r="A13" s="16" t="s">
        <v>69</v>
      </c>
      <c r="B13" s="30" t="s">
        <v>836</v>
      </c>
      <c r="C13" s="164"/>
      <c r="D13" s="19" t="s">
        <v>51</v>
      </c>
      <c r="E13" s="19" t="s">
        <v>52</v>
      </c>
      <c r="F13" s="21">
        <f>(3600000)/1000*$F$5</f>
        <v>3600</v>
      </c>
      <c r="G13" s="21">
        <f t="shared" ref="G13:G37" si="0">F13-(0)/1000*$F$5</f>
        <v>3600</v>
      </c>
      <c r="H13" s="27" t="s">
        <v>53</v>
      </c>
      <c r="I13" s="15"/>
    </row>
    <row r="14" spans="1:10" ht="36" x14ac:dyDescent="0.2">
      <c r="A14" s="16" t="s">
        <v>70</v>
      </c>
      <c r="B14" s="30" t="s">
        <v>837</v>
      </c>
      <c r="C14" s="164"/>
      <c r="D14" s="19" t="s">
        <v>54</v>
      </c>
      <c r="E14" s="19" t="s">
        <v>25</v>
      </c>
      <c r="F14" s="21">
        <f>(2765753)/1000*$F$5</f>
        <v>2765.7530000000002</v>
      </c>
      <c r="G14" s="21">
        <f>F14-(401097)/1000*$F$5</f>
        <v>2364.6559999999999</v>
      </c>
      <c r="H14" s="27" t="s">
        <v>55</v>
      </c>
      <c r="I14" s="15"/>
    </row>
    <row r="15" spans="1:10" ht="48" x14ac:dyDescent="0.2">
      <c r="A15" s="16" t="s">
        <v>71</v>
      </c>
      <c r="B15" s="30" t="s">
        <v>244</v>
      </c>
      <c r="C15" s="164"/>
      <c r="D15" s="19" t="s">
        <v>56</v>
      </c>
      <c r="E15" s="19" t="s">
        <v>52</v>
      </c>
      <c r="F15" s="21">
        <f>(5000000)/1000*$F$5</f>
        <v>5000</v>
      </c>
      <c r="G15" s="21">
        <f t="shared" si="0"/>
        <v>5000</v>
      </c>
      <c r="H15" s="27" t="s">
        <v>170</v>
      </c>
      <c r="I15" s="15"/>
    </row>
    <row r="16" spans="1:10" ht="36" x14ac:dyDescent="0.2">
      <c r="A16" s="16" t="s">
        <v>72</v>
      </c>
      <c r="B16" s="30" t="s">
        <v>838</v>
      </c>
      <c r="C16" s="164"/>
      <c r="D16" s="19" t="s">
        <v>4</v>
      </c>
      <c r="E16" s="19" t="s">
        <v>7</v>
      </c>
      <c r="F16" s="21">
        <f>(5947000)/1000*$F$5</f>
        <v>5947</v>
      </c>
      <c r="G16" s="21">
        <f>F16-(322033.9)/1000*$F$5</f>
        <v>5624.9660999999996</v>
      </c>
      <c r="H16" s="27" t="s">
        <v>57</v>
      </c>
      <c r="I16" s="15"/>
    </row>
    <row r="17" spans="1:9" ht="24" x14ac:dyDescent="0.2">
      <c r="A17" s="16" t="s">
        <v>73</v>
      </c>
      <c r="B17" s="30" t="s">
        <v>839</v>
      </c>
      <c r="C17" s="164"/>
      <c r="D17" s="19" t="s">
        <v>58</v>
      </c>
      <c r="E17" s="19" t="s">
        <v>58</v>
      </c>
      <c r="F17" s="21">
        <f>(720000)/1000*$F$5</f>
        <v>720</v>
      </c>
      <c r="G17" s="21">
        <f>F17-(128844)/1000*$F$5</f>
        <v>591.15599999999995</v>
      </c>
      <c r="H17" s="27" t="s">
        <v>59</v>
      </c>
      <c r="I17" s="15"/>
    </row>
    <row r="18" spans="1:9" ht="24" x14ac:dyDescent="0.2">
      <c r="A18" s="16" t="s">
        <v>74</v>
      </c>
      <c r="B18" s="30" t="s">
        <v>840</v>
      </c>
      <c r="C18" s="164"/>
      <c r="D18" s="19" t="s">
        <v>60</v>
      </c>
      <c r="E18" s="19" t="s">
        <v>60</v>
      </c>
      <c r="F18" s="21">
        <f>(700000)/1000*$F$5</f>
        <v>700</v>
      </c>
      <c r="G18" s="21">
        <f t="shared" si="0"/>
        <v>700</v>
      </c>
      <c r="H18" s="27" t="s">
        <v>59</v>
      </c>
      <c r="I18" s="15"/>
    </row>
    <row r="19" spans="1:9" ht="24" x14ac:dyDescent="0.2">
      <c r="A19" s="16" t="s">
        <v>75</v>
      </c>
      <c r="B19" s="30" t="s">
        <v>841</v>
      </c>
      <c r="C19" s="164"/>
      <c r="D19" s="19" t="s">
        <v>61</v>
      </c>
      <c r="E19" s="19" t="s">
        <v>61</v>
      </c>
      <c r="F19" s="21">
        <f>(720000)/1000*$F$5</f>
        <v>720</v>
      </c>
      <c r="G19" s="21">
        <f t="shared" si="0"/>
        <v>720</v>
      </c>
      <c r="H19" s="27" t="s">
        <v>59</v>
      </c>
      <c r="I19" s="15"/>
    </row>
    <row r="20" spans="1:9" ht="24" x14ac:dyDescent="0.2">
      <c r="A20" s="16" t="s">
        <v>76</v>
      </c>
      <c r="B20" s="30" t="s">
        <v>842</v>
      </c>
      <c r="C20" s="164"/>
      <c r="D20" s="19" t="s">
        <v>62</v>
      </c>
      <c r="E20" s="19" t="s">
        <v>62</v>
      </c>
      <c r="F20" s="21">
        <f>(730000)/1000*$F$5</f>
        <v>730</v>
      </c>
      <c r="G20" s="21">
        <f t="shared" si="0"/>
        <v>730</v>
      </c>
      <c r="H20" s="27" t="s">
        <v>59</v>
      </c>
      <c r="I20" s="15"/>
    </row>
    <row r="21" spans="1:9" ht="48" x14ac:dyDescent="0.2">
      <c r="A21" s="16" t="s">
        <v>77</v>
      </c>
      <c r="B21" s="30" t="s">
        <v>245</v>
      </c>
      <c r="C21" s="164"/>
      <c r="D21" s="19" t="s">
        <v>16</v>
      </c>
      <c r="E21" s="19" t="s">
        <v>63</v>
      </c>
      <c r="F21" s="21">
        <f>(170917+20177971)/1000*$F$5</f>
        <v>20348.887999999999</v>
      </c>
      <c r="G21" s="21">
        <f>F21-(2286003+6277093)/1000*$F$5</f>
        <v>11785.791999999999</v>
      </c>
      <c r="H21" s="27" t="s">
        <v>64</v>
      </c>
      <c r="I21" s="15"/>
    </row>
    <row r="22" spans="1:9" ht="140.25" customHeight="1" x14ac:dyDescent="0.2">
      <c r="A22" s="16" t="s">
        <v>80</v>
      </c>
      <c r="B22" s="30" t="s">
        <v>246</v>
      </c>
      <c r="C22" s="28" t="s">
        <v>81</v>
      </c>
      <c r="D22" s="19" t="s">
        <v>78</v>
      </c>
      <c r="E22" s="19" t="s">
        <v>7</v>
      </c>
      <c r="F22" s="21">
        <f>(3293513)/1000*$F$5</f>
        <v>3293.5129999999999</v>
      </c>
      <c r="G22" s="21">
        <f t="shared" si="0"/>
        <v>3293.5129999999999</v>
      </c>
      <c r="H22" s="27" t="s">
        <v>79</v>
      </c>
      <c r="I22" s="15"/>
    </row>
    <row r="23" spans="1:9" ht="48" x14ac:dyDescent="0.2">
      <c r="A23" s="16" t="s">
        <v>82</v>
      </c>
      <c r="B23" s="30" t="s">
        <v>247</v>
      </c>
      <c r="C23" s="153" t="s">
        <v>83</v>
      </c>
      <c r="D23" s="19" t="s">
        <v>84</v>
      </c>
      <c r="E23" s="19" t="s">
        <v>7</v>
      </c>
      <c r="F23" s="21">
        <f>(15724959.7)/1000*$F$5</f>
        <v>15724.959699999999</v>
      </c>
      <c r="G23" s="21">
        <f t="shared" si="0"/>
        <v>15724.959699999999</v>
      </c>
      <c r="H23" s="27" t="s">
        <v>85</v>
      </c>
      <c r="I23" s="15"/>
    </row>
    <row r="24" spans="1:9" ht="84" x14ac:dyDescent="0.2">
      <c r="A24" s="16" t="s">
        <v>87</v>
      </c>
      <c r="B24" s="30" t="s">
        <v>247</v>
      </c>
      <c r="C24" s="153"/>
      <c r="D24" s="19" t="s">
        <v>86</v>
      </c>
      <c r="E24" s="19" t="s">
        <v>22</v>
      </c>
      <c r="F24" s="21">
        <f>(13589383)/1000*$F$5</f>
        <v>13589.383</v>
      </c>
      <c r="G24" s="21">
        <f t="shared" si="0"/>
        <v>13589.383</v>
      </c>
      <c r="H24" s="27" t="s">
        <v>109</v>
      </c>
      <c r="I24" s="15"/>
    </row>
    <row r="25" spans="1:9" ht="72" x14ac:dyDescent="0.2">
      <c r="A25" s="16" t="s">
        <v>88</v>
      </c>
      <c r="B25" s="30" t="s">
        <v>118</v>
      </c>
      <c r="C25" s="153"/>
      <c r="D25" s="19" t="s">
        <v>91</v>
      </c>
      <c r="E25" s="24" t="s">
        <v>92</v>
      </c>
      <c r="F25" s="21">
        <f>(9015373)/1000*$F$5</f>
        <v>9015.3729999999996</v>
      </c>
      <c r="G25" s="21">
        <f t="shared" si="0"/>
        <v>9015.3729999999996</v>
      </c>
      <c r="H25" s="27" t="s">
        <v>110</v>
      </c>
      <c r="I25" s="15"/>
    </row>
    <row r="26" spans="1:9" ht="48" x14ac:dyDescent="0.2">
      <c r="A26" s="16" t="s">
        <v>89</v>
      </c>
      <c r="B26" s="30" t="s">
        <v>247</v>
      </c>
      <c r="C26" s="153"/>
      <c r="D26" s="19" t="s">
        <v>93</v>
      </c>
      <c r="E26" s="24" t="s">
        <v>94</v>
      </c>
      <c r="F26" s="21">
        <f>(21058242)/1000*$F$5</f>
        <v>21058.241999999998</v>
      </c>
      <c r="G26" s="21">
        <f t="shared" si="0"/>
        <v>21058.241999999998</v>
      </c>
      <c r="H26" s="27" t="s">
        <v>108</v>
      </c>
      <c r="I26" s="15"/>
    </row>
    <row r="27" spans="1:9" ht="60" x14ac:dyDescent="0.2">
      <c r="A27" s="16" t="s">
        <v>90</v>
      </c>
      <c r="B27" s="30" t="s">
        <v>247</v>
      </c>
      <c r="C27" s="153"/>
      <c r="D27" s="19" t="s">
        <v>60</v>
      </c>
      <c r="E27" s="19" t="s">
        <v>95</v>
      </c>
      <c r="F27" s="21">
        <f>(2279276)/1000*$F$5</f>
        <v>2279.2759999999998</v>
      </c>
      <c r="G27" s="21">
        <f t="shared" si="0"/>
        <v>2279.2759999999998</v>
      </c>
      <c r="H27" s="27" t="s">
        <v>111</v>
      </c>
      <c r="I27" s="15"/>
    </row>
    <row r="28" spans="1:9" ht="48" x14ac:dyDescent="0.2">
      <c r="A28" s="16" t="s">
        <v>96</v>
      </c>
      <c r="B28" s="30" t="s">
        <v>247</v>
      </c>
      <c r="C28" s="153"/>
      <c r="D28" s="19" t="s">
        <v>95</v>
      </c>
      <c r="E28" s="19" t="s">
        <v>9</v>
      </c>
      <c r="F28" s="21">
        <f>(1136955)/1000*$F$5</f>
        <v>1136.9549999999999</v>
      </c>
      <c r="G28" s="21">
        <f t="shared" si="0"/>
        <v>1136.9549999999999</v>
      </c>
      <c r="H28" s="27" t="s">
        <v>112</v>
      </c>
      <c r="I28" s="15"/>
    </row>
    <row r="29" spans="1:9" ht="84" x14ac:dyDescent="0.2">
      <c r="A29" s="16" t="s">
        <v>97</v>
      </c>
      <c r="B29" s="30" t="s">
        <v>247</v>
      </c>
      <c r="C29" s="153"/>
      <c r="D29" s="19" t="s">
        <v>101</v>
      </c>
      <c r="E29" s="24" t="s">
        <v>102</v>
      </c>
      <c r="F29" s="21">
        <f>(8510364)/1000*$F$5</f>
        <v>8510.3639999999996</v>
      </c>
      <c r="G29" s="21">
        <f t="shared" si="0"/>
        <v>8510.3639999999996</v>
      </c>
      <c r="H29" s="27" t="s">
        <v>113</v>
      </c>
      <c r="I29" s="15"/>
    </row>
    <row r="30" spans="1:9" ht="41.25" customHeight="1" x14ac:dyDescent="0.2">
      <c r="A30" s="16" t="s">
        <v>98</v>
      </c>
      <c r="B30" s="30" t="s">
        <v>247</v>
      </c>
      <c r="C30" s="153"/>
      <c r="D30" s="19" t="s">
        <v>103</v>
      </c>
      <c r="E30" s="19" t="s">
        <v>104</v>
      </c>
      <c r="F30" s="21">
        <f>(2290335)/1000*$F$5</f>
        <v>2290.335</v>
      </c>
      <c r="G30" s="21">
        <f t="shared" si="0"/>
        <v>2290.335</v>
      </c>
      <c r="H30" s="27" t="s">
        <v>105</v>
      </c>
      <c r="I30" s="15"/>
    </row>
    <row r="31" spans="1:9" ht="84" x14ac:dyDescent="0.2">
      <c r="A31" s="16" t="s">
        <v>99</v>
      </c>
      <c r="B31" s="30" t="s">
        <v>247</v>
      </c>
      <c r="C31" s="153"/>
      <c r="D31" s="19" t="s">
        <v>104</v>
      </c>
      <c r="E31" s="24" t="s">
        <v>106</v>
      </c>
      <c r="F31" s="21">
        <f>(7629477)/1000*$F$5</f>
        <v>7629.4769999999999</v>
      </c>
      <c r="G31" s="21">
        <f t="shared" si="0"/>
        <v>7629.4769999999999</v>
      </c>
      <c r="H31" s="27" t="s">
        <v>114</v>
      </c>
      <c r="I31" s="15"/>
    </row>
    <row r="32" spans="1:9" ht="48" x14ac:dyDescent="0.2">
      <c r="A32" s="16" t="s">
        <v>100</v>
      </c>
      <c r="B32" s="30" t="s">
        <v>247</v>
      </c>
      <c r="C32" s="153"/>
      <c r="D32" s="19" t="s">
        <v>16</v>
      </c>
      <c r="E32" s="19" t="s">
        <v>107</v>
      </c>
      <c r="F32" s="21">
        <f>(1831211)/1000*$F$5</f>
        <v>1831.211</v>
      </c>
      <c r="G32" s="21">
        <f t="shared" si="0"/>
        <v>1831.211</v>
      </c>
      <c r="H32" s="27" t="s">
        <v>115</v>
      </c>
      <c r="I32" s="15"/>
    </row>
    <row r="33" spans="1:9" ht="156" x14ac:dyDescent="0.2">
      <c r="A33" s="17" t="s">
        <v>149</v>
      </c>
      <c r="B33" s="32" t="s">
        <v>146</v>
      </c>
      <c r="C33" s="29" t="s">
        <v>843</v>
      </c>
      <c r="D33" s="12" t="s">
        <v>124</v>
      </c>
      <c r="E33" s="12" t="s">
        <v>56</v>
      </c>
      <c r="F33" s="13">
        <f>(407667.34/1.18)/1000*$F$5</f>
        <v>345.48079661016953</v>
      </c>
      <c r="G33" s="13">
        <f>F33</f>
        <v>345.48079661016953</v>
      </c>
      <c r="H33" s="23" t="s">
        <v>125</v>
      </c>
      <c r="I33" s="31"/>
    </row>
    <row r="34" spans="1:9" ht="50.25" customHeight="1" x14ac:dyDescent="0.2">
      <c r="A34" s="35" t="s">
        <v>148</v>
      </c>
      <c r="B34" s="7" t="s">
        <v>249</v>
      </c>
      <c r="C34" s="152" t="s">
        <v>147</v>
      </c>
      <c r="D34" s="18"/>
      <c r="E34" s="18"/>
      <c r="F34" s="20">
        <f>(0)/1000*$F$5</f>
        <v>0</v>
      </c>
      <c r="G34" s="20">
        <f t="shared" si="0"/>
        <v>0</v>
      </c>
      <c r="H34" s="26"/>
      <c r="I34" s="34"/>
    </row>
    <row r="35" spans="1:9" ht="64.5" customHeight="1" x14ac:dyDescent="0.2">
      <c r="A35" s="16" t="s">
        <v>122</v>
      </c>
      <c r="B35" s="30" t="s">
        <v>248</v>
      </c>
      <c r="C35" s="153"/>
      <c r="D35" s="19" t="s">
        <v>119</v>
      </c>
      <c r="E35" s="19" t="s">
        <v>119</v>
      </c>
      <c r="F35" s="21">
        <f>(448400/1.18)/1000*$F$5</f>
        <v>380</v>
      </c>
      <c r="G35" s="21">
        <f t="shared" si="0"/>
        <v>380</v>
      </c>
      <c r="H35" s="27" t="s">
        <v>120</v>
      </c>
      <c r="I35" s="33"/>
    </row>
    <row r="36" spans="1:9" ht="48" x14ac:dyDescent="0.2">
      <c r="A36" s="16" t="s">
        <v>123</v>
      </c>
      <c r="B36" s="30" t="s">
        <v>250</v>
      </c>
      <c r="C36" s="153"/>
      <c r="D36" s="19" t="s">
        <v>13</v>
      </c>
      <c r="E36" s="19" t="s">
        <v>8</v>
      </c>
      <c r="F36" s="21">
        <f>(2300000)/1000*$F$5</f>
        <v>2300</v>
      </c>
      <c r="G36" s="21">
        <f t="shared" si="0"/>
        <v>2300</v>
      </c>
      <c r="H36" s="27" t="s">
        <v>171</v>
      </c>
      <c r="I36" s="33"/>
    </row>
    <row r="37" spans="1:9" ht="66.75" customHeight="1" x14ac:dyDescent="0.2">
      <c r="A37" s="16" t="s">
        <v>150</v>
      </c>
      <c r="B37" s="30" t="s">
        <v>251</v>
      </c>
      <c r="C37" s="153"/>
      <c r="D37" s="19" t="s">
        <v>126</v>
      </c>
      <c r="E37" s="19" t="s">
        <v>127</v>
      </c>
      <c r="F37" s="21">
        <f>(650000)/1000*$F$5</f>
        <v>650</v>
      </c>
      <c r="G37" s="21">
        <f t="shared" si="0"/>
        <v>650</v>
      </c>
      <c r="H37" s="27" t="s">
        <v>121</v>
      </c>
      <c r="I37" s="33"/>
    </row>
    <row r="38" spans="1:9" ht="69" customHeight="1" x14ac:dyDescent="0.2">
      <c r="A38" s="16" t="s">
        <v>151</v>
      </c>
      <c r="B38" s="30" t="s">
        <v>252</v>
      </c>
      <c r="C38" s="153"/>
      <c r="D38" s="19" t="s">
        <v>51</v>
      </c>
      <c r="E38" s="19" t="s">
        <v>56</v>
      </c>
      <c r="F38" s="21">
        <f>(2300000)/1000*$F$5</f>
        <v>2300</v>
      </c>
      <c r="G38" s="21">
        <f>F38-(61506)/1000*$F$5</f>
        <v>2238.4940000000001</v>
      </c>
      <c r="H38" s="27" t="s">
        <v>121</v>
      </c>
      <c r="I38" s="33"/>
    </row>
    <row r="39" spans="1:9" ht="60" x14ac:dyDescent="0.2">
      <c r="A39" s="16" t="s">
        <v>152</v>
      </c>
      <c r="B39" s="30" t="s">
        <v>253</v>
      </c>
      <c r="C39" s="153"/>
      <c r="D39" s="19" t="s">
        <v>51</v>
      </c>
      <c r="E39" s="19" t="s">
        <v>124</v>
      </c>
      <c r="F39" s="21">
        <f>(2300000)/1000*$F$5</f>
        <v>2300</v>
      </c>
      <c r="G39" s="21">
        <f>F39-(0)/1000*$F$5</f>
        <v>2300</v>
      </c>
      <c r="H39" s="27" t="s">
        <v>172</v>
      </c>
      <c r="I39" s="33"/>
    </row>
    <row r="40" spans="1:9" ht="60" x14ac:dyDescent="0.2">
      <c r="A40" s="16" t="s">
        <v>153</v>
      </c>
      <c r="B40" s="30" t="s">
        <v>891</v>
      </c>
      <c r="C40" s="153"/>
      <c r="D40" s="19" t="s">
        <v>124</v>
      </c>
      <c r="E40" s="19" t="s">
        <v>129</v>
      </c>
      <c r="F40" s="21">
        <f>(1416000/1.18)/1000*$F$5</f>
        <v>1200</v>
      </c>
      <c r="G40" s="21">
        <f>F40-(0)/1000*$F$5</f>
        <v>1200</v>
      </c>
      <c r="H40" s="27" t="s">
        <v>128</v>
      </c>
      <c r="I40" s="33"/>
    </row>
    <row r="41" spans="1:9" ht="54.75" customHeight="1" x14ac:dyDescent="0.2">
      <c r="A41" s="16" t="s">
        <v>154</v>
      </c>
      <c r="B41" s="30" t="s">
        <v>254</v>
      </c>
      <c r="C41" s="153"/>
      <c r="D41" s="19" t="s">
        <v>49</v>
      </c>
      <c r="E41" s="19" t="s">
        <v>25</v>
      </c>
      <c r="F41" s="21">
        <f>(4600000)/1000*$F$5</f>
        <v>4600</v>
      </c>
      <c r="G41" s="21">
        <f>F41-(32790)/1000*$F$5</f>
        <v>4567.21</v>
      </c>
      <c r="H41" s="27" t="s">
        <v>130</v>
      </c>
      <c r="I41" s="33"/>
    </row>
    <row r="42" spans="1:9" ht="40.5" customHeight="1" x14ac:dyDescent="0.2">
      <c r="A42" s="16" t="s">
        <v>155</v>
      </c>
      <c r="B42" s="30" t="s">
        <v>255</v>
      </c>
      <c r="C42" s="153"/>
      <c r="D42" s="19" t="s">
        <v>56</v>
      </c>
      <c r="E42" s="19" t="s">
        <v>7</v>
      </c>
      <c r="F42" s="21">
        <f>(1896068)/1000*$F$5</f>
        <v>1896.068</v>
      </c>
      <c r="G42" s="21">
        <f>F42-(510000)/1000*$F$5</f>
        <v>1386.068</v>
      </c>
      <c r="H42" s="27" t="s">
        <v>131</v>
      </c>
      <c r="I42" s="33"/>
    </row>
    <row r="43" spans="1:9" ht="66" customHeight="1" x14ac:dyDescent="0.2">
      <c r="A43" s="16" t="s">
        <v>156</v>
      </c>
      <c r="B43" s="30" t="s">
        <v>893</v>
      </c>
      <c r="C43" s="153"/>
      <c r="D43" s="19" t="s">
        <v>132</v>
      </c>
      <c r="E43" s="19" t="s">
        <v>14</v>
      </c>
      <c r="F43" s="21">
        <f>(1420000)/1000*$F$5</f>
        <v>1420</v>
      </c>
      <c r="G43" s="21">
        <f>F43-(0)/1000*$F$5</f>
        <v>1420</v>
      </c>
      <c r="H43" s="27" t="s">
        <v>128</v>
      </c>
      <c r="I43" s="33"/>
    </row>
    <row r="44" spans="1:9" ht="48" x14ac:dyDescent="0.2">
      <c r="A44" s="16" t="s">
        <v>157</v>
      </c>
      <c r="B44" s="30" t="s">
        <v>895</v>
      </c>
      <c r="C44" s="153"/>
      <c r="D44" s="19" t="s">
        <v>4</v>
      </c>
      <c r="E44" s="24" t="s">
        <v>649</v>
      </c>
      <c r="F44" s="21">
        <f>(42143938)/1000*$F$5</f>
        <v>42143.938000000002</v>
      </c>
      <c r="G44" s="21">
        <f>F44-(27790161.6)/1000*$F$5</f>
        <v>14353.776399999999</v>
      </c>
      <c r="H44" s="27" t="s">
        <v>133</v>
      </c>
      <c r="I44" s="33"/>
    </row>
    <row r="45" spans="1:9" ht="48" x14ac:dyDescent="0.2">
      <c r="A45" s="16" t="s">
        <v>158</v>
      </c>
      <c r="B45" s="30" t="s">
        <v>844</v>
      </c>
      <c r="C45" s="153"/>
      <c r="D45" s="19" t="s">
        <v>4</v>
      </c>
      <c r="E45" s="19" t="s">
        <v>86</v>
      </c>
      <c r="F45" s="21">
        <f>(5583000)/1000*$F$5</f>
        <v>5583</v>
      </c>
      <c r="G45" s="21">
        <f>F45-(901966)/1000*$F$5</f>
        <v>4681.0339999999997</v>
      </c>
      <c r="H45" s="27" t="s">
        <v>134</v>
      </c>
      <c r="I45" s="33"/>
    </row>
    <row r="46" spans="1:9" ht="36" x14ac:dyDescent="0.2">
      <c r="A46" s="16" t="s">
        <v>159</v>
      </c>
      <c r="B46" s="30" t="s">
        <v>257</v>
      </c>
      <c r="C46" s="153"/>
      <c r="D46" s="19" t="s">
        <v>14</v>
      </c>
      <c r="E46" s="19" t="s">
        <v>7</v>
      </c>
      <c r="F46" s="21">
        <f>(7800000)/1000*$F$5</f>
        <v>7800</v>
      </c>
      <c r="G46" s="21">
        <f>F46-(886884)/1000*$F$5</f>
        <v>6913.116</v>
      </c>
      <c r="H46" s="27" t="s">
        <v>135</v>
      </c>
      <c r="I46" s="33"/>
    </row>
    <row r="47" spans="1:9" ht="36" x14ac:dyDescent="0.2">
      <c r="A47" s="16" t="s">
        <v>160</v>
      </c>
      <c r="B47" s="30" t="s">
        <v>258</v>
      </c>
      <c r="C47" s="153"/>
      <c r="D47" s="19" t="s">
        <v>58</v>
      </c>
      <c r="E47" s="19" t="s">
        <v>9</v>
      </c>
      <c r="F47" s="21">
        <f>(5200000)/1000*$F$5</f>
        <v>5200</v>
      </c>
      <c r="G47" s="21">
        <f>F47-(0)/1000*$F$5</f>
        <v>5200</v>
      </c>
      <c r="H47" s="27" t="s">
        <v>136</v>
      </c>
      <c r="I47" s="33"/>
    </row>
    <row r="48" spans="1:9" ht="36" x14ac:dyDescent="0.2">
      <c r="A48" s="16" t="s">
        <v>161</v>
      </c>
      <c r="B48" s="30" t="s">
        <v>259</v>
      </c>
      <c r="C48" s="153"/>
      <c r="D48" s="19" t="s">
        <v>93</v>
      </c>
      <c r="E48" s="19" t="s">
        <v>137</v>
      </c>
      <c r="F48" s="21">
        <f>(700000)/1000*$F$5</f>
        <v>700</v>
      </c>
      <c r="G48" s="21">
        <f>F48-(370000)/1000*$F$5</f>
        <v>330</v>
      </c>
      <c r="H48" s="27" t="s">
        <v>128</v>
      </c>
      <c r="I48" s="33"/>
    </row>
    <row r="49" spans="1:10" ht="60" x14ac:dyDescent="0.2">
      <c r="A49" s="16" t="s">
        <v>162</v>
      </c>
      <c r="B49" s="30" t="s">
        <v>260</v>
      </c>
      <c r="C49" s="153"/>
      <c r="D49" s="19" t="s">
        <v>137</v>
      </c>
      <c r="E49" s="19" t="s">
        <v>95</v>
      </c>
      <c r="F49" s="21">
        <f>(1050000)/1000*$F$5</f>
        <v>1050</v>
      </c>
      <c r="G49" s="21">
        <f t="shared" ref="G49:G57" si="1">F49-(0)/1000*$F$5</f>
        <v>1050</v>
      </c>
      <c r="H49" s="27" t="s">
        <v>128</v>
      </c>
      <c r="I49" s="33"/>
    </row>
    <row r="50" spans="1:10" ht="36" x14ac:dyDescent="0.2">
      <c r="A50" s="16" t="s">
        <v>163</v>
      </c>
      <c r="B50" s="30" t="s">
        <v>902</v>
      </c>
      <c r="C50" s="153"/>
      <c r="D50" s="19" t="s">
        <v>91</v>
      </c>
      <c r="E50" s="19" t="s">
        <v>95</v>
      </c>
      <c r="F50" s="21">
        <f>(3066113)/1000*$F$5</f>
        <v>3066.1129999999998</v>
      </c>
      <c r="G50" s="21">
        <f t="shared" si="1"/>
        <v>3066.1129999999998</v>
      </c>
      <c r="H50" s="27" t="s">
        <v>138</v>
      </c>
      <c r="I50" s="33"/>
    </row>
    <row r="51" spans="1:10" ht="36" x14ac:dyDescent="0.2">
      <c r="A51" s="16" t="s">
        <v>164</v>
      </c>
      <c r="B51" s="30" t="s">
        <v>261</v>
      </c>
      <c r="C51" s="153"/>
      <c r="D51" s="19" t="s">
        <v>60</v>
      </c>
      <c r="E51" s="19" t="s">
        <v>139</v>
      </c>
      <c r="F51" s="21">
        <f>(5238644)/1000*$F$5</f>
        <v>5238.6440000000002</v>
      </c>
      <c r="G51" s="21">
        <f t="shared" si="1"/>
        <v>5238.6440000000002</v>
      </c>
      <c r="H51" s="27" t="s">
        <v>140</v>
      </c>
      <c r="I51" s="33"/>
    </row>
    <row r="52" spans="1:10" ht="42.75" customHeight="1" x14ac:dyDescent="0.2">
      <c r="A52" s="16" t="s">
        <v>165</v>
      </c>
      <c r="B52" s="30" t="s">
        <v>262</v>
      </c>
      <c r="C52" s="153"/>
      <c r="D52" s="19" t="s">
        <v>95</v>
      </c>
      <c r="E52" s="19" t="s">
        <v>9</v>
      </c>
      <c r="F52" s="21">
        <f>(2995000)/1000*$F$5</f>
        <v>2995</v>
      </c>
      <c r="G52" s="21">
        <f t="shared" si="1"/>
        <v>2995</v>
      </c>
      <c r="H52" s="27" t="s">
        <v>140</v>
      </c>
      <c r="I52" s="33"/>
    </row>
    <row r="53" spans="1:10" ht="40.5" customHeight="1" x14ac:dyDescent="0.2">
      <c r="A53" s="16" t="s">
        <v>166</v>
      </c>
      <c r="B53" s="30" t="s">
        <v>263</v>
      </c>
      <c r="C53" s="153"/>
      <c r="D53" s="19" t="s">
        <v>141</v>
      </c>
      <c r="E53" s="24" t="s">
        <v>142</v>
      </c>
      <c r="F53" s="21">
        <f>(4930000)/1000*$F$5</f>
        <v>4930</v>
      </c>
      <c r="G53" s="21">
        <f t="shared" si="1"/>
        <v>4930</v>
      </c>
      <c r="H53" s="27" t="s">
        <v>143</v>
      </c>
      <c r="I53" s="33"/>
    </row>
    <row r="54" spans="1:10" ht="66" customHeight="1" x14ac:dyDescent="0.2">
      <c r="A54" s="16" t="s">
        <v>167</v>
      </c>
      <c r="B54" s="30" t="s">
        <v>264</v>
      </c>
      <c r="C54" s="153" t="s">
        <v>763</v>
      </c>
      <c r="D54" s="19" t="s">
        <v>86</v>
      </c>
      <c r="E54" s="19" t="s">
        <v>95</v>
      </c>
      <c r="F54" s="21">
        <f>(3048480)/1000*$F$5</f>
        <v>3048.48</v>
      </c>
      <c r="G54" s="21">
        <f t="shared" si="1"/>
        <v>3048.48</v>
      </c>
      <c r="H54" s="27" t="s">
        <v>144</v>
      </c>
      <c r="I54" s="33"/>
    </row>
    <row r="55" spans="1:10" ht="101.25" customHeight="1" x14ac:dyDescent="0.2">
      <c r="A55" s="16" t="s">
        <v>168</v>
      </c>
      <c r="B55" s="30" t="s">
        <v>265</v>
      </c>
      <c r="C55" s="153"/>
      <c r="D55" s="19" t="s">
        <v>103</v>
      </c>
      <c r="E55" s="24" t="s">
        <v>145</v>
      </c>
      <c r="F55" s="21">
        <f>(3942141)/1000*$F$5</f>
        <v>3942.1410000000001</v>
      </c>
      <c r="G55" s="21">
        <f t="shared" si="1"/>
        <v>3942.1410000000001</v>
      </c>
      <c r="H55" s="27" t="s">
        <v>143</v>
      </c>
      <c r="I55" s="33"/>
    </row>
    <row r="56" spans="1:10" ht="77.25" customHeight="1" x14ac:dyDescent="0.2">
      <c r="A56" s="16" t="s">
        <v>297</v>
      </c>
      <c r="B56" s="30" t="s">
        <v>296</v>
      </c>
      <c r="C56" s="153" t="s">
        <v>650</v>
      </c>
      <c r="D56" s="19" t="s">
        <v>13</v>
      </c>
      <c r="E56" s="24" t="s">
        <v>48</v>
      </c>
      <c r="F56" s="21">
        <f>(1397275.21)/1000*$F$5</f>
        <v>1397.27521</v>
      </c>
      <c r="G56" s="21">
        <f t="shared" si="1"/>
        <v>1397.27521</v>
      </c>
      <c r="H56" s="27" t="s">
        <v>144</v>
      </c>
      <c r="I56" s="33"/>
    </row>
    <row r="57" spans="1:10" ht="90" customHeight="1" x14ac:dyDescent="0.2">
      <c r="A57" s="16" t="s">
        <v>306</v>
      </c>
      <c r="B57" s="30" t="s">
        <v>298</v>
      </c>
      <c r="C57" s="154"/>
      <c r="D57" s="19" t="s">
        <v>78</v>
      </c>
      <c r="E57" s="24" t="s">
        <v>52</v>
      </c>
      <c r="F57" s="21">
        <f>(1460000)/1000*$F$5</f>
        <v>1460</v>
      </c>
      <c r="G57" s="21">
        <f t="shared" si="1"/>
        <v>1460</v>
      </c>
      <c r="H57" s="27" t="s">
        <v>144</v>
      </c>
      <c r="I57" s="33"/>
    </row>
    <row r="58" spans="1:10" ht="48.75" customHeight="1" x14ac:dyDescent="0.2">
      <c r="A58" s="43" t="s">
        <v>186</v>
      </c>
      <c r="B58" s="7" t="s">
        <v>799</v>
      </c>
      <c r="C58" s="152" t="s">
        <v>333</v>
      </c>
      <c r="D58" s="18"/>
      <c r="E58" s="39"/>
      <c r="F58" s="20"/>
      <c r="G58" s="20"/>
      <c r="H58" s="26"/>
      <c r="I58" s="34"/>
    </row>
    <row r="59" spans="1:10" ht="58.5" customHeight="1" x14ac:dyDescent="0.2">
      <c r="A59" s="16" t="s">
        <v>173</v>
      </c>
      <c r="B59" s="30" t="s">
        <v>220</v>
      </c>
      <c r="C59" s="153"/>
      <c r="D59" s="19" t="s">
        <v>25</v>
      </c>
      <c r="E59" s="24" t="s">
        <v>86</v>
      </c>
      <c r="F59" s="21">
        <f>(5990000)/1000*$F$5</f>
        <v>5990</v>
      </c>
      <c r="G59" s="21">
        <f>F59-(2790000)/1000*$F$5</f>
        <v>3200</v>
      </c>
      <c r="H59" s="27" t="s">
        <v>184</v>
      </c>
      <c r="I59" s="33"/>
    </row>
    <row r="60" spans="1:10" ht="64.5" customHeight="1" x14ac:dyDescent="0.2">
      <c r="A60" s="16" t="s">
        <v>187</v>
      </c>
      <c r="B60" s="30" t="s">
        <v>221</v>
      </c>
      <c r="C60" s="153"/>
      <c r="D60" s="24" t="s">
        <v>86</v>
      </c>
      <c r="E60" s="24" t="s">
        <v>139</v>
      </c>
      <c r="F60" s="21">
        <f>(6100000)/1000*$F$5</f>
        <v>6100</v>
      </c>
      <c r="G60" s="21">
        <f>F60-(2790)/1000*$F$5</f>
        <v>6097.21</v>
      </c>
      <c r="H60" s="27" t="s">
        <v>185</v>
      </c>
      <c r="I60" s="33"/>
    </row>
    <row r="61" spans="1:10" ht="165.75" customHeight="1" x14ac:dyDescent="0.2">
      <c r="A61" s="17" t="s">
        <v>188</v>
      </c>
      <c r="B61" s="36" t="s">
        <v>222</v>
      </c>
      <c r="C61" s="29" t="s">
        <v>651</v>
      </c>
      <c r="D61" s="12" t="s">
        <v>46</v>
      </c>
      <c r="E61" s="44" t="s">
        <v>48</v>
      </c>
      <c r="F61" s="13">
        <f>(22567584.09)/1000*$F$5</f>
        <v>22567.58409</v>
      </c>
      <c r="G61" s="13">
        <f>F61-(1513641+2800000+165000)/1000*$F$5</f>
        <v>18088.943090000001</v>
      </c>
      <c r="H61" s="23" t="s">
        <v>189</v>
      </c>
      <c r="I61" s="31"/>
    </row>
    <row r="62" spans="1:10" ht="52.5" customHeight="1" x14ac:dyDescent="0.2">
      <c r="A62" s="43" t="s">
        <v>190</v>
      </c>
      <c r="B62" s="7" t="s">
        <v>307</v>
      </c>
      <c r="C62" s="152" t="s">
        <v>656</v>
      </c>
      <c r="D62" s="19"/>
      <c r="E62" s="24"/>
      <c r="F62" s="21"/>
      <c r="G62" s="21"/>
      <c r="H62" s="27"/>
      <c r="I62" s="33"/>
    </row>
    <row r="63" spans="1:10" ht="81" customHeight="1" x14ac:dyDescent="0.2">
      <c r="A63" s="16" t="s">
        <v>191</v>
      </c>
      <c r="B63" s="30" t="s">
        <v>925</v>
      </c>
      <c r="C63" s="153"/>
      <c r="D63" s="19" t="s">
        <v>223</v>
      </c>
      <c r="E63" s="24" t="s">
        <v>658</v>
      </c>
      <c r="F63" s="21">
        <f>(755098153.19/1.18)/1000*$F$5</f>
        <v>639913.68914406793</v>
      </c>
      <c r="G63" s="21">
        <f>F63-(3069504.4)/1000*$F$5</f>
        <v>636844.18474406796</v>
      </c>
      <c r="H63" s="27" t="s">
        <v>224</v>
      </c>
      <c r="I63" s="33"/>
      <c r="J63" s="1" t="s">
        <v>657</v>
      </c>
    </row>
    <row r="64" spans="1:10" ht="81.75" customHeight="1" x14ac:dyDescent="0.2">
      <c r="A64" s="16" t="s">
        <v>192</v>
      </c>
      <c r="B64" s="30" t="s">
        <v>926</v>
      </c>
      <c r="C64" s="153"/>
      <c r="D64" s="19" t="s">
        <v>31</v>
      </c>
      <c r="E64" s="19" t="s">
        <v>11</v>
      </c>
      <c r="F64" s="21">
        <f>(263049495)/1000*$F$5</f>
        <v>263049.495</v>
      </c>
      <c r="G64" s="21">
        <f>F64-(3429672+4392871+1527542)/1000*$F$5</f>
        <v>253699.41</v>
      </c>
      <c r="H64" s="27" t="s">
        <v>225</v>
      </c>
      <c r="I64" s="33"/>
    </row>
    <row r="65" spans="1:10" ht="60" x14ac:dyDescent="0.2">
      <c r="A65" s="16" t="s">
        <v>193</v>
      </c>
      <c r="B65" s="30" t="s">
        <v>226</v>
      </c>
      <c r="C65" s="153"/>
      <c r="D65" s="19" t="s">
        <v>227</v>
      </c>
      <c r="E65" s="24" t="s">
        <v>660</v>
      </c>
      <c r="F65" s="21">
        <f>(1073038839.44)/1000*$F$5</f>
        <v>1073038.83944</v>
      </c>
      <c r="G65" s="21">
        <f>F65-(213273640+1475718+31875722+14558003+15523386+31999188+33739055+9912986+24735430)/1000*$F$5</f>
        <v>695945.71143999998</v>
      </c>
      <c r="H65" s="27" t="s">
        <v>185</v>
      </c>
      <c r="I65" s="33"/>
      <c r="J65" s="1" t="s">
        <v>659</v>
      </c>
    </row>
    <row r="66" spans="1:10" ht="48" x14ac:dyDescent="0.2">
      <c r="A66" s="16" t="s">
        <v>194</v>
      </c>
      <c r="B66" s="30" t="s">
        <v>228</v>
      </c>
      <c r="C66" s="153"/>
      <c r="D66" s="19" t="s">
        <v>13</v>
      </c>
      <c r="E66" s="24" t="s">
        <v>661</v>
      </c>
      <c r="F66" s="21">
        <f>(580672306.54)/1000*$F$5</f>
        <v>580672.30654000002</v>
      </c>
      <c r="G66" s="21">
        <f>F66-(131445396+7611196+8912693+1312680)/1000*$F$5</f>
        <v>431390.34154000005</v>
      </c>
      <c r="H66" s="27" t="s">
        <v>229</v>
      </c>
      <c r="I66" s="33"/>
      <c r="J66" s="1" t="s">
        <v>662</v>
      </c>
    </row>
    <row r="67" spans="1:10" ht="60" x14ac:dyDescent="0.2">
      <c r="A67" s="16" t="s">
        <v>195</v>
      </c>
      <c r="B67" s="30" t="s">
        <v>236</v>
      </c>
      <c r="C67" s="153"/>
      <c r="D67" s="19" t="s">
        <v>61</v>
      </c>
      <c r="E67" s="24" t="s">
        <v>664</v>
      </c>
      <c r="F67" s="21">
        <f>(80521374.83)/1000*$F$5</f>
        <v>80521.374830000001</v>
      </c>
      <c r="G67" s="21">
        <f t="shared" ref="G67:G82" si="2">F67-(0)/1000*$F$5</f>
        <v>80521.374830000001</v>
      </c>
      <c r="H67" s="27" t="s">
        <v>237</v>
      </c>
      <c r="I67" s="33"/>
      <c r="J67" s="1" t="s">
        <v>663</v>
      </c>
    </row>
    <row r="68" spans="1:10" ht="48" x14ac:dyDescent="0.2">
      <c r="A68" s="16" t="s">
        <v>196</v>
      </c>
      <c r="B68" s="30" t="s">
        <v>238</v>
      </c>
      <c r="C68" s="153"/>
      <c r="D68" s="19" t="s">
        <v>103</v>
      </c>
      <c r="E68" s="24" t="s">
        <v>666</v>
      </c>
      <c r="F68" s="21">
        <f>(36517483.6/1.18)/1000*$F$5</f>
        <v>30947.020000000004</v>
      </c>
      <c r="G68" s="21">
        <f t="shared" si="2"/>
        <v>30947.020000000004</v>
      </c>
      <c r="H68" s="27" t="s">
        <v>239</v>
      </c>
      <c r="I68" s="33"/>
      <c r="J68" s="1" t="s">
        <v>665</v>
      </c>
    </row>
    <row r="69" spans="1:10" ht="68.25" customHeight="1" x14ac:dyDescent="0.2">
      <c r="A69" s="16" t="s">
        <v>197</v>
      </c>
      <c r="B69" s="30" t="s">
        <v>334</v>
      </c>
      <c r="C69" s="28" t="s">
        <v>234</v>
      </c>
      <c r="D69" s="19" t="s">
        <v>35</v>
      </c>
      <c r="E69" s="19" t="s">
        <v>230</v>
      </c>
      <c r="F69" s="21">
        <f>(11102044)/1000*$F$5</f>
        <v>11102.044</v>
      </c>
      <c r="G69" s="21">
        <f t="shared" si="2"/>
        <v>11102.044</v>
      </c>
      <c r="H69" s="27" t="s">
        <v>335</v>
      </c>
      <c r="I69" s="33"/>
    </row>
    <row r="70" spans="1:10" ht="52.5" customHeight="1" x14ac:dyDescent="0.2">
      <c r="A70" s="16" t="s">
        <v>198</v>
      </c>
      <c r="B70" s="30" t="s">
        <v>232</v>
      </c>
      <c r="C70" s="28"/>
      <c r="D70" s="19" t="s">
        <v>61</v>
      </c>
      <c r="E70" s="19" t="s">
        <v>61</v>
      </c>
      <c r="F70" s="21">
        <f>(1441492)/1000*$F$5</f>
        <v>1441.492</v>
      </c>
      <c r="G70" s="21">
        <f t="shared" si="2"/>
        <v>1441.492</v>
      </c>
      <c r="H70" s="27" t="s">
        <v>235</v>
      </c>
      <c r="I70" s="33"/>
    </row>
    <row r="71" spans="1:10" ht="36" x14ac:dyDescent="0.2">
      <c r="A71" s="16" t="s">
        <v>199</v>
      </c>
      <c r="B71" s="30" t="s">
        <v>240</v>
      </c>
      <c r="C71" s="28"/>
      <c r="D71" s="19" t="s">
        <v>62</v>
      </c>
      <c r="E71" s="19" t="s">
        <v>16</v>
      </c>
      <c r="F71" s="21">
        <f>(2545771)/1000*$F$5</f>
        <v>2545.7710000000002</v>
      </c>
      <c r="G71" s="21">
        <f t="shared" si="2"/>
        <v>2545.7710000000002</v>
      </c>
      <c r="H71" s="27" t="s">
        <v>241</v>
      </c>
      <c r="I71" s="33"/>
    </row>
    <row r="72" spans="1:10" ht="60" x14ac:dyDescent="0.2">
      <c r="A72" s="16" t="s">
        <v>200</v>
      </c>
      <c r="B72" s="30" t="s">
        <v>233</v>
      </c>
      <c r="C72" s="28"/>
      <c r="D72" s="19" t="s">
        <v>101</v>
      </c>
      <c r="E72" s="19" t="s">
        <v>101</v>
      </c>
      <c r="F72" s="21">
        <f>(623681)/1000*$F$5</f>
        <v>623.68100000000004</v>
      </c>
      <c r="G72" s="21">
        <f t="shared" si="2"/>
        <v>623.68100000000004</v>
      </c>
      <c r="H72" s="45" t="s">
        <v>231</v>
      </c>
      <c r="I72" s="33"/>
    </row>
    <row r="73" spans="1:10" ht="144" x14ac:dyDescent="0.2">
      <c r="A73" s="16" t="s">
        <v>201</v>
      </c>
      <c r="B73" s="5" t="s">
        <v>29</v>
      </c>
      <c r="C73" s="27" t="s">
        <v>667</v>
      </c>
      <c r="D73" s="19" t="s">
        <v>8</v>
      </c>
      <c r="E73" s="19" t="s">
        <v>9</v>
      </c>
      <c r="F73" s="21">
        <f>(33456472)/1000*$F$5</f>
        <v>33456.472000000002</v>
      </c>
      <c r="G73" s="21">
        <f t="shared" si="2"/>
        <v>33456.472000000002</v>
      </c>
      <c r="H73" s="27" t="s">
        <v>32</v>
      </c>
      <c r="I73" s="33"/>
    </row>
    <row r="74" spans="1:10" ht="132" x14ac:dyDescent="0.2">
      <c r="A74" s="16" t="s">
        <v>202</v>
      </c>
      <c r="B74" s="5" t="s">
        <v>544</v>
      </c>
      <c r="C74" s="27" t="s">
        <v>764</v>
      </c>
      <c r="D74" s="19" t="s">
        <v>48</v>
      </c>
      <c r="E74" s="19" t="s">
        <v>9</v>
      </c>
      <c r="F74" s="21">
        <f>(96537111)/1000*$F$5</f>
        <v>96537.111000000004</v>
      </c>
      <c r="G74" s="21">
        <f>F74-(0)/1000*$F$5</f>
        <v>96537.111000000004</v>
      </c>
      <c r="H74" s="27" t="s">
        <v>545</v>
      </c>
      <c r="I74" s="33"/>
      <c r="J74" s="1" t="s">
        <v>546</v>
      </c>
    </row>
    <row r="75" spans="1:10" ht="96" x14ac:dyDescent="0.2">
      <c r="A75" s="16" t="s">
        <v>203</v>
      </c>
      <c r="B75" s="5" t="s">
        <v>30</v>
      </c>
      <c r="C75" s="27" t="s">
        <v>336</v>
      </c>
      <c r="D75" s="19" t="s">
        <v>13</v>
      </c>
      <c r="E75" s="19" t="s">
        <v>181</v>
      </c>
      <c r="F75" s="21">
        <f>(28683341.69)/1000*$F$5</f>
        <v>28683.341690000001</v>
      </c>
      <c r="G75" s="21">
        <f>F75-(5640762+8136815)/1000*$F$5</f>
        <v>14905.764690000002</v>
      </c>
      <c r="H75" s="27" t="s">
        <v>34</v>
      </c>
      <c r="I75" s="33"/>
    </row>
    <row r="76" spans="1:10" ht="48" x14ac:dyDescent="0.2">
      <c r="A76" s="16" t="s">
        <v>204</v>
      </c>
      <c r="B76" s="5" t="s">
        <v>30</v>
      </c>
      <c r="C76" s="28" t="s">
        <v>337</v>
      </c>
      <c r="D76" s="19" t="s">
        <v>8</v>
      </c>
      <c r="E76" s="19" t="s">
        <v>295</v>
      </c>
      <c r="F76" s="21">
        <f>(2645492)/1000*$F$5</f>
        <v>2645.4920000000002</v>
      </c>
      <c r="G76" s="21">
        <f t="shared" si="2"/>
        <v>2645.4920000000002</v>
      </c>
      <c r="H76" s="27" t="s">
        <v>294</v>
      </c>
      <c r="I76" s="33"/>
    </row>
    <row r="77" spans="1:10" ht="80.25" customHeight="1" x14ac:dyDescent="0.2">
      <c r="A77" s="16" t="s">
        <v>205</v>
      </c>
      <c r="B77" s="5" t="s">
        <v>299</v>
      </c>
      <c r="C77" s="28" t="s">
        <v>699</v>
      </c>
      <c r="D77" s="19" t="s">
        <v>36</v>
      </c>
      <c r="E77" s="19" t="s">
        <v>37</v>
      </c>
      <c r="F77" s="21">
        <v>8400</v>
      </c>
      <c r="G77" s="21">
        <v>8400</v>
      </c>
      <c r="H77" s="27" t="s">
        <v>38</v>
      </c>
      <c r="I77" s="33"/>
    </row>
    <row r="78" spans="1:10" ht="112.5" customHeight="1" x14ac:dyDescent="0.2">
      <c r="A78" s="16" t="s">
        <v>206</v>
      </c>
      <c r="B78" s="30" t="s">
        <v>23</v>
      </c>
      <c r="C78" s="28" t="s">
        <v>10</v>
      </c>
      <c r="D78" s="19" t="s">
        <v>12</v>
      </c>
      <c r="E78" s="19" t="s">
        <v>25</v>
      </c>
      <c r="F78" s="21">
        <f>(6953730.8)/1000*$F$5</f>
        <v>6953.7307999999994</v>
      </c>
      <c r="G78" s="21">
        <f>F78-(0)/1000*$F$5</f>
        <v>6953.7307999999994</v>
      </c>
      <c r="H78" s="27" t="s">
        <v>27</v>
      </c>
      <c r="I78" s="33"/>
    </row>
    <row r="79" spans="1:10" ht="67.5" customHeight="1" x14ac:dyDescent="0.2">
      <c r="A79" s="16" t="s">
        <v>207</v>
      </c>
      <c r="B79" s="30" t="s">
        <v>300</v>
      </c>
      <c r="C79" s="28" t="s">
        <v>302</v>
      </c>
      <c r="D79" s="19" t="s">
        <v>5</v>
      </c>
      <c r="E79" s="19" t="s">
        <v>7</v>
      </c>
      <c r="F79" s="21">
        <f>(3599389.4/1.18)/1000*$F$5</f>
        <v>3050.33</v>
      </c>
      <c r="G79" s="21">
        <f t="shared" si="2"/>
        <v>3050.33</v>
      </c>
      <c r="H79" s="27" t="s">
        <v>301</v>
      </c>
      <c r="I79" s="33"/>
    </row>
    <row r="80" spans="1:10" ht="72" x14ac:dyDescent="0.2">
      <c r="A80" s="16" t="s">
        <v>668</v>
      </c>
      <c r="B80" s="30" t="s">
        <v>303</v>
      </c>
      <c r="C80" s="28" t="s">
        <v>305</v>
      </c>
      <c r="D80" s="19" t="s">
        <v>139</v>
      </c>
      <c r="E80" s="19" t="s">
        <v>211</v>
      </c>
      <c r="F80" s="21">
        <f>(5412330)/1000*$F$5</f>
        <v>5412.33</v>
      </c>
      <c r="G80" s="21">
        <f t="shared" si="2"/>
        <v>5412.33</v>
      </c>
      <c r="H80" s="27" t="s">
        <v>304</v>
      </c>
      <c r="I80" s="33"/>
      <c r="J80" s="1" t="s">
        <v>622</v>
      </c>
    </row>
    <row r="81" spans="1:9" hidden="1" x14ac:dyDescent="0.2">
      <c r="A81" s="16"/>
      <c r="B81" s="30"/>
      <c r="C81" s="28"/>
      <c r="D81" s="19"/>
      <c r="E81" s="24"/>
      <c r="F81" s="13">
        <f>(0)/1000*$F$5</f>
        <v>0</v>
      </c>
      <c r="G81" s="13">
        <f t="shared" si="2"/>
        <v>0</v>
      </c>
      <c r="H81" s="27"/>
      <c r="I81" s="33"/>
    </row>
    <row r="82" spans="1:9" hidden="1" x14ac:dyDescent="0.2">
      <c r="A82" s="16"/>
      <c r="B82" s="30"/>
      <c r="C82" s="28"/>
      <c r="D82" s="19"/>
      <c r="E82" s="24"/>
      <c r="F82" s="13">
        <f>(0)/1000*$F$5</f>
        <v>0</v>
      </c>
      <c r="G82" s="13">
        <f t="shared" si="2"/>
        <v>0</v>
      </c>
      <c r="H82" s="27"/>
      <c r="I82" s="33"/>
    </row>
    <row r="83" spans="1:9" hidden="1" x14ac:dyDescent="0.2">
      <c r="A83" s="16"/>
      <c r="B83" s="30"/>
      <c r="C83" s="28"/>
      <c r="D83" s="19"/>
      <c r="E83" s="24"/>
      <c r="F83" s="21"/>
      <c r="G83" s="21"/>
      <c r="H83" s="27"/>
      <c r="I83" s="33"/>
    </row>
    <row r="84" spans="1:9" ht="48" x14ac:dyDescent="0.2">
      <c r="A84" s="40" t="s">
        <v>308</v>
      </c>
      <c r="B84" s="7" t="s">
        <v>338</v>
      </c>
      <c r="C84" s="152" t="s">
        <v>169</v>
      </c>
      <c r="D84" s="18"/>
      <c r="E84" s="18"/>
      <c r="F84" s="20">
        <f>(0)/1000*$F$5</f>
        <v>0</v>
      </c>
      <c r="G84" s="20">
        <f t="shared" ref="G84:G95" si="3">F84-(0)/1000*$F$5</f>
        <v>0</v>
      </c>
      <c r="H84" s="26"/>
      <c r="I84" s="34"/>
    </row>
    <row r="85" spans="1:9" ht="36" x14ac:dyDescent="0.2">
      <c r="A85" s="16" t="s">
        <v>213</v>
      </c>
      <c r="B85" s="30" t="s">
        <v>266</v>
      </c>
      <c r="C85" s="153"/>
      <c r="D85" s="19" t="s">
        <v>174</v>
      </c>
      <c r="E85" s="19" t="s">
        <v>8</v>
      </c>
      <c r="F85" s="21">
        <f>(1935198.82/1.18)/1000*$F$5</f>
        <v>1639.9990000000003</v>
      </c>
      <c r="G85" s="21">
        <f t="shared" si="3"/>
        <v>1639.9990000000003</v>
      </c>
      <c r="H85" s="27" t="s">
        <v>128</v>
      </c>
      <c r="I85" s="33"/>
    </row>
    <row r="86" spans="1:9" ht="36" x14ac:dyDescent="0.2">
      <c r="A86" s="16" t="s">
        <v>214</v>
      </c>
      <c r="B86" s="30" t="s">
        <v>267</v>
      </c>
      <c r="C86" s="153"/>
      <c r="D86" s="19" t="s">
        <v>46</v>
      </c>
      <c r="E86" s="19" t="s">
        <v>126</v>
      </c>
      <c r="F86" s="21">
        <f>(570000)/1000*$F$5</f>
        <v>570</v>
      </c>
      <c r="G86" s="21">
        <f t="shared" si="3"/>
        <v>570</v>
      </c>
      <c r="H86" s="27" t="s">
        <v>175</v>
      </c>
      <c r="I86" s="33"/>
    </row>
    <row r="87" spans="1:9" ht="36" x14ac:dyDescent="0.2">
      <c r="A87" s="16" t="s">
        <v>215</v>
      </c>
      <c r="B87" s="30" t="s">
        <v>268</v>
      </c>
      <c r="C87" s="153"/>
      <c r="D87" s="19" t="s">
        <v>176</v>
      </c>
      <c r="E87" s="19" t="s">
        <v>176</v>
      </c>
      <c r="F87" s="21">
        <f>(259600/1.18)/1000*$F$5</f>
        <v>220</v>
      </c>
      <c r="G87" s="21">
        <f t="shared" si="3"/>
        <v>220</v>
      </c>
      <c r="H87" s="27" t="s">
        <v>128</v>
      </c>
      <c r="I87" s="33"/>
    </row>
    <row r="88" spans="1:9" ht="36" x14ac:dyDescent="0.2">
      <c r="A88" s="16" t="s">
        <v>216</v>
      </c>
      <c r="B88" s="30" t="s">
        <v>269</v>
      </c>
      <c r="C88" s="153"/>
      <c r="D88" s="19" t="s">
        <v>177</v>
      </c>
      <c r="E88" s="19" t="s">
        <v>177</v>
      </c>
      <c r="F88" s="21">
        <f>(218300/1.18)/1000*$F$5</f>
        <v>185</v>
      </c>
      <c r="G88" s="21">
        <f t="shared" si="3"/>
        <v>185</v>
      </c>
      <c r="H88" s="27" t="s">
        <v>128</v>
      </c>
      <c r="I88" s="33"/>
    </row>
    <row r="89" spans="1:9" ht="62.25" customHeight="1" x14ac:dyDescent="0.2">
      <c r="A89" s="16" t="s">
        <v>217</v>
      </c>
      <c r="B89" s="30" t="s">
        <v>270</v>
      </c>
      <c r="C89" s="153"/>
      <c r="D89" s="19" t="s">
        <v>177</v>
      </c>
      <c r="E89" s="19" t="s">
        <v>54</v>
      </c>
      <c r="F89" s="21">
        <f>(390000)/1000*$F$5</f>
        <v>390</v>
      </c>
      <c r="G89" s="21">
        <f t="shared" si="3"/>
        <v>390</v>
      </c>
      <c r="H89" s="27" t="s">
        <v>175</v>
      </c>
      <c r="I89" s="33"/>
    </row>
    <row r="90" spans="1:9" ht="24" x14ac:dyDescent="0.2">
      <c r="A90" s="16" t="s">
        <v>309</v>
      </c>
      <c r="B90" s="30" t="s">
        <v>271</v>
      </c>
      <c r="C90" s="153"/>
      <c r="D90" s="19" t="s">
        <v>12</v>
      </c>
      <c r="E90" s="19" t="s">
        <v>12</v>
      </c>
      <c r="F90" s="21">
        <f>(279660/1.18)/1000*$F$5</f>
        <v>237</v>
      </c>
      <c r="G90" s="21">
        <f t="shared" si="3"/>
        <v>237</v>
      </c>
      <c r="H90" s="27" t="s">
        <v>178</v>
      </c>
      <c r="I90" s="33"/>
    </row>
    <row r="91" spans="1:9" ht="36" x14ac:dyDescent="0.2">
      <c r="A91" s="16" t="s">
        <v>310</v>
      </c>
      <c r="B91" s="30" t="s">
        <v>272</v>
      </c>
      <c r="C91" s="153"/>
      <c r="D91" s="19" t="s">
        <v>179</v>
      </c>
      <c r="E91" s="19" t="s">
        <v>52</v>
      </c>
      <c r="F91" s="21">
        <f>(731598.82/1.18)/1000*$F$5</f>
        <v>619.99900000000002</v>
      </c>
      <c r="G91" s="21">
        <f t="shared" si="3"/>
        <v>619.99900000000002</v>
      </c>
      <c r="H91" s="27" t="s">
        <v>178</v>
      </c>
      <c r="I91" s="33"/>
    </row>
    <row r="92" spans="1:9" ht="24" x14ac:dyDescent="0.2">
      <c r="A92" s="16" t="s">
        <v>311</v>
      </c>
      <c r="B92" s="30" t="s">
        <v>273</v>
      </c>
      <c r="C92" s="153"/>
      <c r="D92" s="19" t="s">
        <v>181</v>
      </c>
      <c r="E92" s="19" t="s">
        <v>51</v>
      </c>
      <c r="F92" s="21">
        <f>(70800/1.18)/1000*$F$5</f>
        <v>60</v>
      </c>
      <c r="G92" s="21">
        <f t="shared" si="3"/>
        <v>60</v>
      </c>
      <c r="H92" s="27" t="s">
        <v>180</v>
      </c>
      <c r="I92" s="33"/>
    </row>
    <row r="93" spans="1:9" ht="60" x14ac:dyDescent="0.2">
      <c r="A93" s="16" t="s">
        <v>312</v>
      </c>
      <c r="B93" s="30" t="s">
        <v>274</v>
      </c>
      <c r="C93" s="153"/>
      <c r="D93" s="19" t="s">
        <v>56</v>
      </c>
      <c r="E93" s="19" t="s">
        <v>129</v>
      </c>
      <c r="F93" s="21">
        <f>(300000)/1000*$F$5</f>
        <v>300</v>
      </c>
      <c r="G93" s="21">
        <f t="shared" si="3"/>
        <v>300</v>
      </c>
      <c r="H93" s="27" t="s">
        <v>178</v>
      </c>
      <c r="I93" s="33"/>
    </row>
    <row r="94" spans="1:9" ht="60" x14ac:dyDescent="0.2">
      <c r="A94" s="16" t="s">
        <v>313</v>
      </c>
      <c r="B94" s="30" t="s">
        <v>275</v>
      </c>
      <c r="C94" s="153"/>
      <c r="D94" s="19" t="s">
        <v>56</v>
      </c>
      <c r="E94" s="19" t="s">
        <v>52</v>
      </c>
      <c r="F94" s="21">
        <f>(780000)/1000*$F$5</f>
        <v>780</v>
      </c>
      <c r="G94" s="21">
        <f t="shared" si="3"/>
        <v>780</v>
      </c>
      <c r="H94" s="27" t="s">
        <v>175</v>
      </c>
      <c r="I94" s="33"/>
    </row>
    <row r="95" spans="1:9" x14ac:dyDescent="0.2">
      <c r="A95" s="16" t="s">
        <v>314</v>
      </c>
      <c r="B95" s="41" t="s">
        <v>276</v>
      </c>
      <c r="C95" s="42"/>
      <c r="D95" s="19" t="s">
        <v>132</v>
      </c>
      <c r="E95" s="19" t="s">
        <v>7</v>
      </c>
      <c r="F95" s="21">
        <f>(2285000)/1000*$F$5</f>
        <v>2285</v>
      </c>
      <c r="G95" s="21">
        <f t="shared" si="3"/>
        <v>2285</v>
      </c>
      <c r="H95" s="27" t="s">
        <v>182</v>
      </c>
      <c r="I95" s="33"/>
    </row>
    <row r="96" spans="1:9" ht="36" x14ac:dyDescent="0.2">
      <c r="A96" s="16" t="s">
        <v>315</v>
      </c>
      <c r="B96" s="30" t="s">
        <v>277</v>
      </c>
      <c r="C96" s="42"/>
      <c r="D96" s="19" t="s">
        <v>4</v>
      </c>
      <c r="E96" s="19" t="s">
        <v>14</v>
      </c>
      <c r="F96" s="21">
        <f>(7400000)/1000*$F$5</f>
        <v>7400</v>
      </c>
      <c r="G96" s="21">
        <f>F96-(3960545+263553)/1000*$F$5</f>
        <v>3175.902</v>
      </c>
      <c r="H96" s="27" t="s">
        <v>136</v>
      </c>
      <c r="I96" s="33"/>
    </row>
    <row r="97" spans="1:9" x14ac:dyDescent="0.2">
      <c r="A97" s="16" t="s">
        <v>316</v>
      </c>
      <c r="B97" s="30" t="s">
        <v>278</v>
      </c>
      <c r="C97" s="42"/>
      <c r="D97" s="19" t="s">
        <v>24</v>
      </c>
      <c r="E97" s="19" t="s">
        <v>95</v>
      </c>
      <c r="F97" s="21">
        <f>(1949000)/1000*$F$5</f>
        <v>1949</v>
      </c>
      <c r="G97" s="21">
        <f>F97-(0)/1000*$F$5</f>
        <v>1949</v>
      </c>
      <c r="H97" s="27" t="s">
        <v>182</v>
      </c>
      <c r="I97" s="33"/>
    </row>
    <row r="98" spans="1:9" x14ac:dyDescent="0.2">
      <c r="A98" s="16" t="s">
        <v>317</v>
      </c>
      <c r="B98" s="30" t="s">
        <v>279</v>
      </c>
      <c r="C98" s="42"/>
      <c r="D98" s="19" t="s">
        <v>91</v>
      </c>
      <c r="E98" s="19" t="s">
        <v>93</v>
      </c>
      <c r="F98" s="21">
        <f>(460000)/1000*$F$5</f>
        <v>460</v>
      </c>
      <c r="G98" s="21">
        <f>F98-(0)/1000*$F$5</f>
        <v>460</v>
      </c>
      <c r="H98" s="27" t="s">
        <v>182</v>
      </c>
      <c r="I98" s="33"/>
    </row>
    <row r="99" spans="1:9" ht="36" x14ac:dyDescent="0.2">
      <c r="A99" s="16" t="s">
        <v>318</v>
      </c>
      <c r="B99" s="30" t="s">
        <v>280</v>
      </c>
      <c r="C99" s="42"/>
      <c r="D99" s="19" t="s">
        <v>137</v>
      </c>
      <c r="E99" s="19" t="s">
        <v>139</v>
      </c>
      <c r="F99" s="21">
        <f>(777278)/1000*$F$5</f>
        <v>777.27800000000002</v>
      </c>
      <c r="G99" s="21">
        <f>F99-(98229)/1000*$F$5</f>
        <v>679.04899999999998</v>
      </c>
      <c r="H99" s="27" t="s">
        <v>183</v>
      </c>
      <c r="I99" s="33"/>
    </row>
    <row r="100" spans="1:9" ht="36" x14ac:dyDescent="0.2">
      <c r="A100" s="16" t="s">
        <v>319</v>
      </c>
      <c r="B100" s="30" t="s">
        <v>281</v>
      </c>
      <c r="C100" s="42"/>
      <c r="D100" s="19" t="s">
        <v>137</v>
      </c>
      <c r="E100" s="19" t="s">
        <v>139</v>
      </c>
      <c r="F100" s="21">
        <f>(956000)/1000*$F$5</f>
        <v>956</v>
      </c>
      <c r="G100" s="21">
        <f>F100-(341273)/1000*$F$5</f>
        <v>614.72699999999998</v>
      </c>
      <c r="H100" s="27" t="s">
        <v>183</v>
      </c>
      <c r="I100" s="33"/>
    </row>
    <row r="101" spans="1:9" ht="36" x14ac:dyDescent="0.2">
      <c r="A101" s="16" t="s">
        <v>320</v>
      </c>
      <c r="B101" s="30" t="s">
        <v>282</v>
      </c>
      <c r="C101" s="42"/>
      <c r="D101" s="19" t="s">
        <v>137</v>
      </c>
      <c r="E101" s="19" t="s">
        <v>139</v>
      </c>
      <c r="F101" s="21">
        <f>(790000)/1000*$F$5</f>
        <v>790</v>
      </c>
      <c r="G101" s="21">
        <f>F101-(222000)/1000*$F$5</f>
        <v>568</v>
      </c>
      <c r="H101" s="27" t="s">
        <v>183</v>
      </c>
      <c r="I101" s="33"/>
    </row>
    <row r="102" spans="1:9" ht="29.25" customHeight="1" x14ac:dyDescent="0.2">
      <c r="A102" s="16" t="s">
        <v>321</v>
      </c>
      <c r="B102" s="30" t="s">
        <v>283</v>
      </c>
      <c r="C102" s="42"/>
      <c r="D102" s="19" t="s">
        <v>16</v>
      </c>
      <c r="E102" s="19" t="s">
        <v>11</v>
      </c>
      <c r="F102" s="21">
        <f>(333000)/1000*$F$5</f>
        <v>333</v>
      </c>
      <c r="G102" s="21">
        <f>F102-(0)/1000*$F$5</f>
        <v>333</v>
      </c>
      <c r="H102" s="27" t="s">
        <v>182</v>
      </c>
      <c r="I102" s="33"/>
    </row>
    <row r="103" spans="1:9" ht="31.5" customHeight="1" x14ac:dyDescent="0.2">
      <c r="A103" s="17" t="s">
        <v>322</v>
      </c>
      <c r="B103" s="36" t="s">
        <v>284</v>
      </c>
      <c r="C103" s="69"/>
      <c r="D103" s="12" t="s">
        <v>107</v>
      </c>
      <c r="E103" s="12" t="s">
        <v>11</v>
      </c>
      <c r="F103" s="13">
        <f>(1356000)/1000*$F$5</f>
        <v>1356</v>
      </c>
      <c r="G103" s="13">
        <f>F103-(0)/1000*$F$5</f>
        <v>1356</v>
      </c>
      <c r="H103" s="23" t="s">
        <v>182</v>
      </c>
      <c r="I103" s="31"/>
    </row>
    <row r="104" spans="1:9" ht="30.75" customHeight="1" x14ac:dyDescent="0.2">
      <c r="A104" s="43" t="s">
        <v>212</v>
      </c>
      <c r="B104" s="37" t="s">
        <v>285</v>
      </c>
      <c r="C104" s="152" t="s">
        <v>208</v>
      </c>
      <c r="D104" s="18"/>
      <c r="E104" s="18"/>
      <c r="F104" s="20">
        <f>(0)/1000*$F$5</f>
        <v>0</v>
      </c>
      <c r="G104" s="20">
        <f>F104-(0)/1000*$F$5</f>
        <v>0</v>
      </c>
      <c r="H104" s="26"/>
      <c r="I104" s="34"/>
    </row>
    <row r="105" spans="1:9" ht="36" x14ac:dyDescent="0.2">
      <c r="A105" s="16" t="s">
        <v>323</v>
      </c>
      <c r="B105" s="30" t="s">
        <v>286</v>
      </c>
      <c r="C105" s="153"/>
      <c r="D105" s="19" t="s">
        <v>209</v>
      </c>
      <c r="E105" s="19" t="s">
        <v>9</v>
      </c>
      <c r="F105" s="21">
        <f>(2597207)/1000*$F$5</f>
        <v>2597.2069999999999</v>
      </c>
      <c r="G105" s="21">
        <f>F105-(0)/1000*$F$5</f>
        <v>2597.2069999999999</v>
      </c>
      <c r="H105" s="27" t="s">
        <v>210</v>
      </c>
      <c r="I105" s="33"/>
    </row>
    <row r="106" spans="1:9" ht="36" x14ac:dyDescent="0.2">
      <c r="A106" s="16" t="s">
        <v>324</v>
      </c>
      <c r="B106" s="30" t="s">
        <v>287</v>
      </c>
      <c r="C106" s="153"/>
      <c r="D106" s="19" t="s">
        <v>211</v>
      </c>
      <c r="E106" s="19" t="s">
        <v>11</v>
      </c>
      <c r="F106" s="21">
        <f>(4745324)/1000*$F$5</f>
        <v>4745.3239999999996</v>
      </c>
      <c r="G106" s="21">
        <f>F106-(0)/1000*$F$5</f>
        <v>4745.3239999999996</v>
      </c>
      <c r="H106" s="27" t="s">
        <v>182</v>
      </c>
      <c r="I106" s="33"/>
    </row>
    <row r="107" spans="1:9" ht="24" x14ac:dyDescent="0.2">
      <c r="A107" s="16" t="s">
        <v>325</v>
      </c>
      <c r="B107" s="30" t="s">
        <v>288</v>
      </c>
      <c r="C107" s="153"/>
      <c r="D107" s="19" t="s">
        <v>211</v>
      </c>
      <c r="E107" s="19" t="s">
        <v>11</v>
      </c>
      <c r="F107" s="21">
        <f>(2553018)/1000*$F$5</f>
        <v>2553.018</v>
      </c>
      <c r="G107" s="21">
        <f t="shared" ref="G107:G114" si="4">F107-(0)/1000*$F$5</f>
        <v>2553.018</v>
      </c>
      <c r="H107" s="27" t="s">
        <v>182</v>
      </c>
      <c r="I107" s="33"/>
    </row>
    <row r="108" spans="1:9" ht="48" x14ac:dyDescent="0.2">
      <c r="A108" s="16" t="s">
        <v>326</v>
      </c>
      <c r="B108" s="30" t="s">
        <v>339</v>
      </c>
      <c r="C108" s="153"/>
      <c r="D108" s="19" t="s">
        <v>211</v>
      </c>
      <c r="E108" s="19" t="s">
        <v>11</v>
      </c>
      <c r="F108" s="21">
        <f>(500000)/1000*$F$5</f>
        <v>500</v>
      </c>
      <c r="G108" s="21">
        <f t="shared" si="4"/>
        <v>500</v>
      </c>
      <c r="H108" s="27" t="s">
        <v>182</v>
      </c>
      <c r="I108" s="33"/>
    </row>
    <row r="109" spans="1:9" ht="46.5" customHeight="1" x14ac:dyDescent="0.2">
      <c r="A109" s="16" t="s">
        <v>327</v>
      </c>
      <c r="B109" s="30" t="s">
        <v>289</v>
      </c>
      <c r="C109" s="42"/>
      <c r="D109" s="19" t="s">
        <v>16</v>
      </c>
      <c r="E109" s="19" t="s">
        <v>107</v>
      </c>
      <c r="F109" s="21">
        <f>(299973)/1000*$F$5</f>
        <v>299.97300000000001</v>
      </c>
      <c r="G109" s="21">
        <f t="shared" si="4"/>
        <v>299.97300000000001</v>
      </c>
      <c r="H109" s="27" t="s">
        <v>182</v>
      </c>
      <c r="I109" s="33"/>
    </row>
    <row r="110" spans="1:9" ht="39.75" customHeight="1" x14ac:dyDescent="0.2">
      <c r="A110" s="43" t="s">
        <v>328</v>
      </c>
      <c r="B110" s="37" t="s">
        <v>291</v>
      </c>
      <c r="C110" s="152" t="s">
        <v>218</v>
      </c>
      <c r="D110" s="18"/>
      <c r="E110" s="18"/>
      <c r="F110" s="20">
        <f>(0)/1000*$F$5</f>
        <v>0</v>
      </c>
      <c r="G110" s="20">
        <f t="shared" si="4"/>
        <v>0</v>
      </c>
      <c r="H110" s="26"/>
      <c r="I110" s="34"/>
    </row>
    <row r="111" spans="1:9" ht="60.75" customHeight="1" x14ac:dyDescent="0.2">
      <c r="A111" s="16" t="s">
        <v>329</v>
      </c>
      <c r="B111" s="30" t="s">
        <v>290</v>
      </c>
      <c r="C111" s="154"/>
      <c r="D111" s="12" t="s">
        <v>104</v>
      </c>
      <c r="E111" s="48" t="s">
        <v>62</v>
      </c>
      <c r="F111" s="13">
        <f>(485000)/1000*$F$5</f>
        <v>485</v>
      </c>
      <c r="G111" s="13">
        <f t="shared" si="4"/>
        <v>485</v>
      </c>
      <c r="H111" s="27" t="s">
        <v>669</v>
      </c>
      <c r="I111" s="33"/>
    </row>
    <row r="112" spans="1:9" ht="48" customHeight="1" x14ac:dyDescent="0.2">
      <c r="A112" s="38" t="s">
        <v>330</v>
      </c>
      <c r="B112" s="37" t="s">
        <v>342</v>
      </c>
      <c r="C112" s="152" t="s">
        <v>340</v>
      </c>
      <c r="D112" s="19"/>
      <c r="E112" s="19"/>
      <c r="F112" s="21">
        <f>(0)/1000*$F$5</f>
        <v>0</v>
      </c>
      <c r="G112" s="21">
        <f t="shared" si="4"/>
        <v>0</v>
      </c>
      <c r="H112" s="26"/>
      <c r="I112" s="34"/>
    </row>
    <row r="113" spans="1:10" ht="52.5" customHeight="1" x14ac:dyDescent="0.2">
      <c r="A113" s="16" t="s">
        <v>331</v>
      </c>
      <c r="B113" s="30" t="s">
        <v>292</v>
      </c>
      <c r="C113" s="153"/>
      <c r="D113" s="19" t="s">
        <v>181</v>
      </c>
      <c r="E113" s="19" t="s">
        <v>54</v>
      </c>
      <c r="F113" s="21">
        <f>(689928.84)/1000*$F$5</f>
        <v>689.92883999999992</v>
      </c>
      <c r="G113" s="21">
        <f t="shared" si="4"/>
        <v>689.92883999999992</v>
      </c>
      <c r="H113" s="27" t="s">
        <v>219</v>
      </c>
      <c r="I113" s="33"/>
    </row>
    <row r="114" spans="1:10" ht="36" x14ac:dyDescent="0.2">
      <c r="A114" s="16" t="s">
        <v>332</v>
      </c>
      <c r="B114" s="36" t="s">
        <v>293</v>
      </c>
      <c r="C114" s="153"/>
      <c r="D114" s="12" t="s">
        <v>181</v>
      </c>
      <c r="E114" s="12" t="s">
        <v>54</v>
      </c>
      <c r="F114" s="13">
        <f>(669986.7)/1000*$F$5</f>
        <v>669.98669999999993</v>
      </c>
      <c r="G114" s="13">
        <f t="shared" si="4"/>
        <v>669.98669999999993</v>
      </c>
      <c r="H114" s="23" t="s">
        <v>670</v>
      </c>
      <c r="I114" s="31"/>
    </row>
    <row r="115" spans="1:10" ht="42" customHeight="1" x14ac:dyDescent="0.2">
      <c r="A115" s="38" t="s">
        <v>356</v>
      </c>
      <c r="B115" s="56" t="s">
        <v>355</v>
      </c>
      <c r="C115" s="155" t="s">
        <v>361</v>
      </c>
      <c r="D115" s="54"/>
      <c r="E115" s="30"/>
      <c r="F115" s="30"/>
      <c r="G115" s="30"/>
      <c r="H115" s="26"/>
      <c r="I115" s="34"/>
    </row>
    <row r="116" spans="1:10" ht="42" customHeight="1" x14ac:dyDescent="0.2">
      <c r="A116" s="16" t="s">
        <v>357</v>
      </c>
      <c r="B116" s="53" t="s">
        <v>358</v>
      </c>
      <c r="C116" s="156"/>
      <c r="D116" s="55" t="s">
        <v>132</v>
      </c>
      <c r="E116" s="19" t="s">
        <v>60</v>
      </c>
      <c r="F116" s="21">
        <f>(13558188)/1000*$F$5</f>
        <v>13558.188</v>
      </c>
      <c r="G116" s="21">
        <f>F116-(469389+1258717+530611+1765439)/1000*$F$5</f>
        <v>9534.0319999999992</v>
      </c>
      <c r="H116" s="27" t="s">
        <v>368</v>
      </c>
      <c r="I116" s="33"/>
      <c r="J116" s="47" t="s">
        <v>369</v>
      </c>
    </row>
    <row r="117" spans="1:10" ht="33" customHeight="1" x14ac:dyDescent="0.2">
      <c r="A117" s="16" t="s">
        <v>360</v>
      </c>
      <c r="B117" s="53" t="s">
        <v>359</v>
      </c>
      <c r="C117" s="156"/>
      <c r="D117" s="55" t="s">
        <v>91</v>
      </c>
      <c r="E117" s="19" t="s">
        <v>95</v>
      </c>
      <c r="F117" s="21">
        <f>(2385000)/1000*$F$5</f>
        <v>2385</v>
      </c>
      <c r="G117" s="21">
        <f>F117-(0)/1000*$F$5</f>
        <v>2385</v>
      </c>
      <c r="H117" s="19" t="s">
        <v>371</v>
      </c>
      <c r="I117" s="19"/>
      <c r="J117" s="1" t="s">
        <v>370</v>
      </c>
    </row>
    <row r="118" spans="1:10" ht="227.25" customHeight="1" x14ac:dyDescent="0.2">
      <c r="A118" s="17" t="s">
        <v>366</v>
      </c>
      <c r="B118" s="36" t="s">
        <v>365</v>
      </c>
      <c r="C118" s="36" t="s">
        <v>686</v>
      </c>
      <c r="D118" s="12" t="s">
        <v>4</v>
      </c>
      <c r="E118" s="12" t="s">
        <v>5</v>
      </c>
      <c r="F118" s="13">
        <f>(10567316+8421143+7072314+700000+6014061)/1000*$F$5</f>
        <v>32774.834000000003</v>
      </c>
      <c r="G118" s="13">
        <f>F118-(0)/1000*$F$5</f>
        <v>32774.834000000003</v>
      </c>
      <c r="H118" s="23" t="s">
        <v>536</v>
      </c>
      <c r="I118" s="31"/>
      <c r="J118" s="47" t="s">
        <v>367</v>
      </c>
    </row>
    <row r="119" spans="1:10" ht="96" customHeight="1" x14ac:dyDescent="0.2">
      <c r="A119" s="46" t="s">
        <v>343</v>
      </c>
      <c r="B119" s="30" t="s">
        <v>672</v>
      </c>
      <c r="C119" s="152" t="s">
        <v>671</v>
      </c>
      <c r="D119" s="12" t="s">
        <v>126</v>
      </c>
      <c r="E119" s="12" t="s">
        <v>295</v>
      </c>
      <c r="F119" s="13">
        <f>(83139502.68)/1000*$F$5</f>
        <v>83139.502680000005</v>
      </c>
      <c r="G119" s="13">
        <f>F119-(6200000+10529012+8438715+108814)/1000*$F$5</f>
        <v>57862.961680000008</v>
      </c>
      <c r="H119" s="23" t="s">
        <v>341</v>
      </c>
      <c r="I119" s="31"/>
    </row>
    <row r="120" spans="1:10" ht="119.25" customHeight="1" x14ac:dyDescent="0.2">
      <c r="A120" s="17" t="s">
        <v>343</v>
      </c>
      <c r="B120" s="4" t="s">
        <v>344</v>
      </c>
      <c r="C120" s="153"/>
      <c r="D120" s="11" t="s">
        <v>176</v>
      </c>
      <c r="E120" s="11" t="s">
        <v>11</v>
      </c>
      <c r="F120" s="13">
        <f>(18470000+6000000+43638688+35800000)/1000*$F$5</f>
        <v>103908.68799999999</v>
      </c>
      <c r="G120" s="13">
        <f>F120-(6226282+584574+1856603+1161147+12527+807520+625000+1980019)/1000*$F$5</f>
        <v>90655.015999999989</v>
      </c>
      <c r="H120" s="2" t="s">
        <v>348</v>
      </c>
      <c r="I120" s="3"/>
      <c r="J120" s="47" t="s">
        <v>345</v>
      </c>
    </row>
    <row r="121" spans="1:10" ht="180" x14ac:dyDescent="0.2">
      <c r="A121" s="17">
        <v>11</v>
      </c>
      <c r="B121" s="2" t="s">
        <v>347</v>
      </c>
      <c r="C121" s="153"/>
      <c r="D121" s="11" t="s">
        <v>176</v>
      </c>
      <c r="E121" s="11" t="s">
        <v>9</v>
      </c>
      <c r="F121" s="13">
        <f>(17300000+16253101+2100000+19600000)/1000*$F$5</f>
        <v>55253.101000000002</v>
      </c>
      <c r="G121" s="13">
        <f>F121-(2581571+57053+300000)/1000*$F$5</f>
        <v>52314.476999999999</v>
      </c>
      <c r="H121" s="4" t="s">
        <v>349</v>
      </c>
      <c r="I121" s="3"/>
      <c r="J121" s="47" t="s">
        <v>350</v>
      </c>
    </row>
    <row r="122" spans="1:10" ht="60" x14ac:dyDescent="0.2">
      <c r="A122" s="17" t="s">
        <v>362</v>
      </c>
      <c r="B122" s="7" t="s">
        <v>351</v>
      </c>
      <c r="C122" s="153"/>
      <c r="D122" s="11" t="s">
        <v>51</v>
      </c>
      <c r="E122" s="11" t="s">
        <v>52</v>
      </c>
      <c r="F122" s="13">
        <f>(6478556)/1000*$F$5</f>
        <v>6478.5559999999996</v>
      </c>
      <c r="G122" s="13">
        <f>F122-(5170957)/1000*$F$5</f>
        <v>1307.5989999999993</v>
      </c>
      <c r="H122" s="2" t="s">
        <v>352</v>
      </c>
      <c r="I122" s="3"/>
      <c r="J122" s="1" t="s">
        <v>353</v>
      </c>
    </row>
    <row r="123" spans="1:10" ht="60" x14ac:dyDescent="0.2">
      <c r="A123" s="17" t="s">
        <v>363</v>
      </c>
      <c r="B123" s="7" t="s">
        <v>800</v>
      </c>
      <c r="C123" s="153"/>
      <c r="D123" s="11" t="s">
        <v>49</v>
      </c>
      <c r="E123" s="11" t="s">
        <v>9</v>
      </c>
      <c r="F123" s="13">
        <f>(24038994+777000)/1000*$F$5</f>
        <v>24815.993999999999</v>
      </c>
      <c r="G123" s="13">
        <f>F123-(2293986+1543444+4453835)/1000*$F$5</f>
        <v>16524.728999999999</v>
      </c>
      <c r="H123" s="49" t="s">
        <v>372</v>
      </c>
      <c r="I123" s="3"/>
      <c r="J123" s="47" t="s">
        <v>354</v>
      </c>
    </row>
    <row r="124" spans="1:10" ht="48" x14ac:dyDescent="0.2">
      <c r="A124" s="17" t="s">
        <v>392</v>
      </c>
      <c r="B124" s="7" t="s">
        <v>801</v>
      </c>
      <c r="C124" s="153"/>
      <c r="D124" s="11" t="s">
        <v>124</v>
      </c>
      <c r="E124" s="11" t="s">
        <v>35</v>
      </c>
      <c r="F124" s="13">
        <f>(5116926)/1000*$F$5</f>
        <v>5116.9260000000004</v>
      </c>
      <c r="G124" s="13">
        <f>F124-(199477+243074)/1000*$F$5</f>
        <v>4674.375</v>
      </c>
      <c r="H124" s="49" t="s">
        <v>373</v>
      </c>
      <c r="I124" s="3"/>
      <c r="J124" s="47" t="s">
        <v>374</v>
      </c>
    </row>
    <row r="125" spans="1:10" ht="60" x14ac:dyDescent="0.2">
      <c r="A125" s="17" t="s">
        <v>393</v>
      </c>
      <c r="B125" s="7" t="s">
        <v>802</v>
      </c>
      <c r="C125" s="153"/>
      <c r="D125" s="11" t="s">
        <v>132</v>
      </c>
      <c r="E125" s="11" t="s">
        <v>377</v>
      </c>
      <c r="F125" s="13">
        <f>(1730000+1570000)/1000*$F$5</f>
        <v>3300</v>
      </c>
      <c r="G125" s="13">
        <f>F125-(1422391)/1000*$F$5</f>
        <v>1877.6089999999999</v>
      </c>
      <c r="H125" s="49" t="s">
        <v>375</v>
      </c>
      <c r="I125" s="3"/>
      <c r="J125" s="47" t="s">
        <v>376</v>
      </c>
    </row>
    <row r="126" spans="1:10" ht="48" x14ac:dyDescent="0.2">
      <c r="A126" s="17" t="s">
        <v>394</v>
      </c>
      <c r="B126" s="7" t="s">
        <v>379</v>
      </c>
      <c r="C126" s="153"/>
      <c r="D126" s="11" t="s">
        <v>14</v>
      </c>
      <c r="E126" s="11" t="s">
        <v>7</v>
      </c>
      <c r="F126" s="13">
        <f>(990000)/1000*$F$5</f>
        <v>990</v>
      </c>
      <c r="G126" s="13">
        <f>F126-(0)/1000*$F$5</f>
        <v>990</v>
      </c>
      <c r="H126" s="49" t="s">
        <v>378</v>
      </c>
      <c r="I126" s="3"/>
      <c r="J126" s="47" t="s">
        <v>380</v>
      </c>
    </row>
    <row r="127" spans="1:10" ht="84" x14ac:dyDescent="0.2">
      <c r="A127" s="17" t="s">
        <v>395</v>
      </c>
      <c r="B127" s="7" t="s">
        <v>381</v>
      </c>
      <c r="C127" s="153"/>
      <c r="D127" s="11" t="s">
        <v>24</v>
      </c>
      <c r="E127" s="11" t="s">
        <v>11</v>
      </c>
      <c r="F127" s="13">
        <f>(1430000)/1000*$F$5</f>
        <v>1430</v>
      </c>
      <c r="G127" s="13">
        <f>F127-(0)/1000*$F$5</f>
        <v>1430</v>
      </c>
      <c r="H127" s="49" t="s">
        <v>382</v>
      </c>
      <c r="I127" s="3"/>
      <c r="J127" s="50" t="s">
        <v>383</v>
      </c>
    </row>
    <row r="128" spans="1:10" ht="72" x14ac:dyDescent="0.2">
      <c r="A128" s="17" t="s">
        <v>396</v>
      </c>
      <c r="B128" s="7" t="s">
        <v>674</v>
      </c>
      <c r="C128" s="153"/>
      <c r="D128" s="11" t="s">
        <v>86</v>
      </c>
      <c r="E128" s="11" t="s">
        <v>16</v>
      </c>
      <c r="F128" s="13">
        <f>(1269000+1511338)/1000*$F$5</f>
        <v>2780.3380000000002</v>
      </c>
      <c r="G128" s="13">
        <f>F128-(0)/1000*$F$5</f>
        <v>2780.3380000000002</v>
      </c>
      <c r="H128" s="49" t="s">
        <v>384</v>
      </c>
      <c r="I128" s="3"/>
      <c r="J128" s="51" t="s">
        <v>385</v>
      </c>
    </row>
    <row r="129" spans="1:10" ht="36" x14ac:dyDescent="0.2">
      <c r="A129" s="16" t="s">
        <v>397</v>
      </c>
      <c r="B129" s="7" t="s">
        <v>673</v>
      </c>
      <c r="C129" s="154"/>
      <c r="D129" s="18" t="s">
        <v>16</v>
      </c>
      <c r="E129" s="18" t="s">
        <v>15</v>
      </c>
      <c r="F129" s="21">
        <f>(5970000)/1000*$F$5</f>
        <v>5970</v>
      </c>
      <c r="G129" s="21">
        <f>F129-(404688+1840498)/1000*$F$5</f>
        <v>3724.8139999999999</v>
      </c>
      <c r="H129" s="57" t="s">
        <v>386</v>
      </c>
      <c r="I129" s="34"/>
      <c r="J129" s="50" t="s">
        <v>387</v>
      </c>
    </row>
    <row r="130" spans="1:10" ht="39" customHeight="1" x14ac:dyDescent="0.2">
      <c r="A130" s="38" t="s">
        <v>398</v>
      </c>
      <c r="B130" s="7" t="s">
        <v>390</v>
      </c>
      <c r="C130" s="163" t="s">
        <v>402</v>
      </c>
      <c r="D130" s="18"/>
      <c r="E130" s="18"/>
      <c r="F130" s="20"/>
      <c r="G130" s="20"/>
      <c r="H130" s="57"/>
      <c r="I130" s="14"/>
      <c r="J130" s="47"/>
    </row>
    <row r="131" spans="1:10" ht="123" customHeight="1" x14ac:dyDescent="0.2">
      <c r="A131" s="16" t="s">
        <v>399</v>
      </c>
      <c r="B131" s="30" t="s">
        <v>391</v>
      </c>
      <c r="C131" s="164"/>
      <c r="D131" s="19" t="s">
        <v>389</v>
      </c>
      <c r="E131" s="19"/>
      <c r="F131" s="21">
        <f>(46178318)/1000*$F$5</f>
        <v>46178.317999999999</v>
      </c>
      <c r="G131" s="21">
        <f>F131-(1471085+2237239+429854+2062761)/1000*$F$5</f>
        <v>39977.379000000001</v>
      </c>
      <c r="H131" s="45" t="s">
        <v>537</v>
      </c>
      <c r="I131" s="15"/>
      <c r="J131" s="47" t="s">
        <v>388</v>
      </c>
    </row>
    <row r="132" spans="1:10" ht="36" customHeight="1" x14ac:dyDescent="0.2">
      <c r="A132" s="17" t="s">
        <v>400</v>
      </c>
      <c r="B132" s="36" t="s">
        <v>404</v>
      </c>
      <c r="C132" s="164"/>
      <c r="D132" s="12" t="s">
        <v>177</v>
      </c>
      <c r="E132" s="12" t="s">
        <v>177</v>
      </c>
      <c r="F132" s="13">
        <f>(1750000)/1000*$F$5</f>
        <v>1750</v>
      </c>
      <c r="G132" s="13">
        <f>F132-(0)/1000*$F$5</f>
        <v>1750</v>
      </c>
      <c r="H132" s="58" t="s">
        <v>386</v>
      </c>
      <c r="I132" s="59"/>
      <c r="J132" s="47" t="s">
        <v>401</v>
      </c>
    </row>
    <row r="133" spans="1:10" ht="36" x14ac:dyDescent="0.2">
      <c r="A133" s="17" t="s">
        <v>403</v>
      </c>
      <c r="B133" s="30" t="s">
        <v>407</v>
      </c>
      <c r="C133" s="164"/>
      <c r="D133" s="12" t="s">
        <v>126</v>
      </c>
      <c r="E133" s="12" t="s">
        <v>8</v>
      </c>
      <c r="F133" s="13">
        <f>(900000)/1000*$F$5</f>
        <v>900</v>
      </c>
      <c r="G133" s="13">
        <f>F133-(0)/1000*$F$5</f>
        <v>900</v>
      </c>
      <c r="H133" s="58" t="s">
        <v>405</v>
      </c>
      <c r="I133" s="31"/>
      <c r="J133" s="47" t="s">
        <v>411</v>
      </c>
    </row>
    <row r="134" spans="1:10" ht="36" x14ac:dyDescent="0.2">
      <c r="A134" s="17" t="s">
        <v>408</v>
      </c>
      <c r="B134" s="7" t="s">
        <v>406</v>
      </c>
      <c r="C134" s="164"/>
      <c r="D134" s="11" t="s">
        <v>410</v>
      </c>
      <c r="E134" s="11" t="s">
        <v>410</v>
      </c>
      <c r="F134" s="13">
        <f>(840000)/1000*$F$5</f>
        <v>840</v>
      </c>
      <c r="G134" s="13">
        <f t="shared" ref="G134:G139" si="5">F134-(0)/1000*$F$5</f>
        <v>840</v>
      </c>
      <c r="H134" s="2" t="s">
        <v>409</v>
      </c>
      <c r="I134" s="3"/>
      <c r="J134" s="1" t="s">
        <v>412</v>
      </c>
    </row>
    <row r="135" spans="1:10" ht="36" x14ac:dyDescent="0.2">
      <c r="A135" s="17" t="s">
        <v>416</v>
      </c>
      <c r="B135" s="7" t="s">
        <v>413</v>
      </c>
      <c r="C135" s="164"/>
      <c r="D135" s="11" t="s">
        <v>12</v>
      </c>
      <c r="E135" s="11" t="s">
        <v>52</v>
      </c>
      <c r="F135" s="13">
        <f>(1150000)/1000*$F$5</f>
        <v>1150</v>
      </c>
      <c r="G135" s="13">
        <f t="shared" si="5"/>
        <v>1150</v>
      </c>
      <c r="H135" s="2" t="s">
        <v>414</v>
      </c>
      <c r="I135" s="3"/>
      <c r="J135" s="1" t="s">
        <v>425</v>
      </c>
    </row>
    <row r="136" spans="1:10" ht="36" x14ac:dyDescent="0.2">
      <c r="A136" s="38" t="s">
        <v>417</v>
      </c>
      <c r="B136" s="7" t="s">
        <v>415</v>
      </c>
      <c r="C136" s="164"/>
      <c r="D136" s="18"/>
      <c r="E136" s="18"/>
      <c r="F136" s="20"/>
      <c r="G136" s="20"/>
      <c r="H136" s="57"/>
      <c r="I136" s="14"/>
    </row>
    <row r="137" spans="1:10" ht="24" x14ac:dyDescent="0.2">
      <c r="A137" s="16" t="s">
        <v>418</v>
      </c>
      <c r="B137" s="30" t="s">
        <v>419</v>
      </c>
      <c r="C137" s="164"/>
      <c r="D137" s="19" t="s">
        <v>12</v>
      </c>
      <c r="E137" s="19" t="s">
        <v>52</v>
      </c>
      <c r="F137" s="21">
        <f>(1291000)/1000*$F$5</f>
        <v>1291</v>
      </c>
      <c r="G137" s="21">
        <f t="shared" si="5"/>
        <v>1291</v>
      </c>
      <c r="H137" s="45" t="s">
        <v>422</v>
      </c>
      <c r="I137" s="15"/>
      <c r="J137" s="1" t="s">
        <v>424</v>
      </c>
    </row>
    <row r="138" spans="1:10" ht="24" x14ac:dyDescent="0.2">
      <c r="A138" s="17" t="s">
        <v>421</v>
      </c>
      <c r="B138" s="36" t="s">
        <v>420</v>
      </c>
      <c r="C138" s="164"/>
      <c r="D138" s="12" t="s">
        <v>49</v>
      </c>
      <c r="E138" s="12" t="s">
        <v>52</v>
      </c>
      <c r="F138" s="13">
        <f>(1227945)/1000*$F$5</f>
        <v>1227.9449999999999</v>
      </c>
      <c r="G138" s="13">
        <f t="shared" si="5"/>
        <v>1227.9449999999999</v>
      </c>
      <c r="H138" s="58" t="s">
        <v>422</v>
      </c>
      <c r="I138" s="59"/>
      <c r="J138" s="1" t="s">
        <v>423</v>
      </c>
    </row>
    <row r="139" spans="1:10" ht="36" x14ac:dyDescent="0.2">
      <c r="A139" s="17" t="s">
        <v>434</v>
      </c>
      <c r="B139" s="7" t="s">
        <v>426</v>
      </c>
      <c r="C139" s="165"/>
      <c r="D139" s="11" t="s">
        <v>427</v>
      </c>
      <c r="E139" s="11" t="s">
        <v>5</v>
      </c>
      <c r="F139" s="13">
        <f>(550000)/1000*$F$5</f>
        <v>550</v>
      </c>
      <c r="G139" s="13">
        <f t="shared" si="5"/>
        <v>550</v>
      </c>
      <c r="H139" s="2" t="s">
        <v>428</v>
      </c>
      <c r="I139" s="3"/>
      <c r="J139" s="1" t="s">
        <v>429</v>
      </c>
    </row>
    <row r="140" spans="1:10" ht="228" x14ac:dyDescent="0.2">
      <c r="A140" s="17">
        <v>26</v>
      </c>
      <c r="B140" s="2" t="s">
        <v>804</v>
      </c>
      <c r="C140" s="163" t="s">
        <v>28</v>
      </c>
      <c r="D140" s="11" t="s">
        <v>14</v>
      </c>
      <c r="E140" s="11" t="s">
        <v>11</v>
      </c>
      <c r="F140" s="13">
        <f>(390000000)/1000*$F$5</f>
        <v>390000</v>
      </c>
      <c r="G140" s="13">
        <f>F140-(10473000+2569000+38773249+1655506+4134020+386559+17036387+15325570+15342207+3454876+1477757+74199+980000)/1000*$F$5</f>
        <v>278317.67</v>
      </c>
      <c r="H140" s="2" t="s">
        <v>805</v>
      </c>
      <c r="I140" s="9"/>
    </row>
    <row r="141" spans="1:10" ht="96" x14ac:dyDescent="0.2">
      <c r="A141" s="17" t="s">
        <v>435</v>
      </c>
      <c r="B141" s="7" t="s">
        <v>803</v>
      </c>
      <c r="C141" s="165"/>
      <c r="D141" s="11" t="s">
        <v>84</v>
      </c>
      <c r="E141" s="11" t="s">
        <v>7</v>
      </c>
      <c r="F141" s="13">
        <f>(13244584)/1000*$F$5</f>
        <v>13244.584000000001</v>
      </c>
      <c r="G141" s="13">
        <f>F141-(3944931+1927740)/1000*$F$5</f>
        <v>7371.9130000000005</v>
      </c>
      <c r="H141" s="2" t="s">
        <v>430</v>
      </c>
      <c r="I141" s="3"/>
    </row>
    <row r="142" spans="1:10" ht="108" x14ac:dyDescent="0.2">
      <c r="A142" s="17" t="s">
        <v>436</v>
      </c>
      <c r="B142" s="7" t="s">
        <v>432</v>
      </c>
      <c r="C142" s="52" t="s">
        <v>433</v>
      </c>
      <c r="D142" s="11" t="s">
        <v>84</v>
      </c>
      <c r="E142" s="11" t="s">
        <v>84</v>
      </c>
      <c r="F142" s="13">
        <f>(500000)/1000*$F$5</f>
        <v>500</v>
      </c>
      <c r="G142" s="13">
        <f>F142-(0)/1000*$F$5</f>
        <v>500</v>
      </c>
      <c r="H142" s="2" t="s">
        <v>431</v>
      </c>
      <c r="I142" s="3"/>
    </row>
    <row r="143" spans="1:10" ht="172.5" customHeight="1" x14ac:dyDescent="0.2">
      <c r="A143" s="17" t="s">
        <v>437</v>
      </c>
      <c r="B143" s="7" t="s">
        <v>765</v>
      </c>
      <c r="C143" s="52" t="s">
        <v>845</v>
      </c>
      <c r="D143" s="11" t="s">
        <v>14</v>
      </c>
      <c r="E143" s="11" t="s">
        <v>586</v>
      </c>
      <c r="F143" s="13">
        <f>(119096424)/1000*$F$5</f>
        <v>119096.424</v>
      </c>
      <c r="G143" s="13">
        <f>F143-(4720342+9389674+2380253+20611493+1300885+1430964+661059)/1000*$F$5</f>
        <v>78601.754000000001</v>
      </c>
      <c r="H143" s="2" t="s">
        <v>585</v>
      </c>
      <c r="I143" s="3"/>
      <c r="J143" s="1" t="s">
        <v>587</v>
      </c>
    </row>
    <row r="144" spans="1:10" ht="172.5" customHeight="1" x14ac:dyDescent="0.2">
      <c r="A144" s="17" t="s">
        <v>447</v>
      </c>
      <c r="B144" s="7" t="s">
        <v>625</v>
      </c>
      <c r="C144" s="52" t="s">
        <v>846</v>
      </c>
      <c r="D144" s="11" t="s">
        <v>95</v>
      </c>
      <c r="E144" s="11" t="s">
        <v>11</v>
      </c>
      <c r="F144" s="13">
        <f>(19671702+1204838+5361278)/1000*$F$5</f>
        <v>26237.817999999999</v>
      </c>
      <c r="G144" s="13">
        <f>F144-(1399023+56345+1515335)/1000*$F$5</f>
        <v>23267.114999999998</v>
      </c>
      <c r="H144" s="2" t="s">
        <v>627</v>
      </c>
      <c r="I144" s="3"/>
      <c r="J144" s="1" t="s">
        <v>626</v>
      </c>
    </row>
    <row r="145" spans="1:10" ht="39.75" customHeight="1" x14ac:dyDescent="0.2">
      <c r="A145" s="38" t="s">
        <v>450</v>
      </c>
      <c r="B145" s="7" t="s">
        <v>677</v>
      </c>
      <c r="C145" s="152" t="s">
        <v>675</v>
      </c>
      <c r="D145" s="18"/>
      <c r="E145" s="18"/>
      <c r="F145" s="20">
        <f>(0)/1000*$F$5</f>
        <v>0</v>
      </c>
      <c r="G145" s="20">
        <f>F145-(0)/1000*$F$5</f>
        <v>0</v>
      </c>
      <c r="H145" s="57"/>
      <c r="I145" s="14"/>
    </row>
    <row r="146" spans="1:10" ht="24" x14ac:dyDescent="0.2">
      <c r="A146" s="16" t="s">
        <v>454</v>
      </c>
      <c r="B146" s="30" t="s">
        <v>438</v>
      </c>
      <c r="C146" s="153"/>
      <c r="D146" s="19" t="s">
        <v>439</v>
      </c>
      <c r="E146" s="19" t="s">
        <v>126</v>
      </c>
      <c r="F146" s="21">
        <f>(7168312)/1000*$F$5</f>
        <v>7168.3119999999999</v>
      </c>
      <c r="G146" s="21">
        <f>F146-(803199)/1000*$F$5</f>
        <v>6365.1130000000003</v>
      </c>
      <c r="H146" s="45" t="s">
        <v>438</v>
      </c>
      <c r="I146" s="15"/>
      <c r="J146" s="1" t="s">
        <v>441</v>
      </c>
    </row>
    <row r="147" spans="1:10" ht="72" x14ac:dyDescent="0.2">
      <c r="A147" s="16" t="s">
        <v>455</v>
      </c>
      <c r="B147" s="30" t="s">
        <v>443</v>
      </c>
      <c r="C147" s="153"/>
      <c r="D147" s="19" t="s">
        <v>119</v>
      </c>
      <c r="E147" s="19" t="s">
        <v>295</v>
      </c>
      <c r="F147" s="21">
        <f>(14067218)/1000*$F$5</f>
        <v>14067.218000000001</v>
      </c>
      <c r="G147" s="21">
        <f>F147-(0)/1000*$F$5</f>
        <v>14067.218000000001</v>
      </c>
      <c r="H147" s="45" t="s">
        <v>446</v>
      </c>
      <c r="I147" s="15"/>
      <c r="J147" s="1" t="s">
        <v>442</v>
      </c>
    </row>
    <row r="148" spans="1:10" ht="72" x14ac:dyDescent="0.2">
      <c r="A148" s="17" t="s">
        <v>463</v>
      </c>
      <c r="B148" s="36" t="s">
        <v>444</v>
      </c>
      <c r="C148" s="153"/>
      <c r="D148" s="19" t="s">
        <v>8</v>
      </c>
      <c r="E148" s="19" t="s">
        <v>56</v>
      </c>
      <c r="F148" s="21">
        <f>(24083149)/1000*$F$5</f>
        <v>24083.149000000001</v>
      </c>
      <c r="G148" s="21">
        <f>F148-(0)/1000*$F$5</f>
        <v>24083.149000000001</v>
      </c>
      <c r="H148" s="45" t="s">
        <v>445</v>
      </c>
      <c r="I148" s="15"/>
      <c r="J148" s="1" t="s">
        <v>440</v>
      </c>
    </row>
    <row r="149" spans="1:10" ht="60" x14ac:dyDescent="0.2">
      <c r="A149" s="61" t="s">
        <v>543</v>
      </c>
      <c r="B149" s="4" t="s">
        <v>676</v>
      </c>
      <c r="C149" s="154"/>
      <c r="D149" s="11" t="s">
        <v>177</v>
      </c>
      <c r="E149" s="11" t="s">
        <v>48</v>
      </c>
      <c r="F149" s="60">
        <f>(24894319)/1000*$F$5</f>
        <v>24894.319</v>
      </c>
      <c r="G149" s="60">
        <f>F149-(1597047)/1000*$F$5</f>
        <v>23297.272000000001</v>
      </c>
      <c r="H149" s="2" t="s">
        <v>449</v>
      </c>
      <c r="I149" s="3"/>
      <c r="J149" s="1" t="s">
        <v>448</v>
      </c>
    </row>
    <row r="150" spans="1:10" ht="112.5" customHeight="1" x14ac:dyDescent="0.2">
      <c r="A150" s="17" t="s">
        <v>552</v>
      </c>
      <c r="B150" s="7" t="s">
        <v>676</v>
      </c>
      <c r="C150" s="29" t="s">
        <v>402</v>
      </c>
      <c r="D150" s="11" t="s">
        <v>124</v>
      </c>
      <c r="E150" s="11" t="s">
        <v>54</v>
      </c>
      <c r="F150" s="13">
        <f>(1490000)/1000*$F$5</f>
        <v>1490</v>
      </c>
      <c r="G150" s="13">
        <f>F150-(0)/1000*$F$5</f>
        <v>1490</v>
      </c>
      <c r="H150" s="49" t="s">
        <v>556</v>
      </c>
      <c r="I150" s="3"/>
    </row>
    <row r="151" spans="1:10" ht="120" customHeight="1" x14ac:dyDescent="0.2">
      <c r="A151" s="17" t="s">
        <v>678</v>
      </c>
      <c r="B151" s="7" t="s">
        <v>547</v>
      </c>
      <c r="C151" s="152" t="s">
        <v>766</v>
      </c>
      <c r="D151" s="159" t="s">
        <v>6</v>
      </c>
      <c r="E151" s="159" t="s">
        <v>7</v>
      </c>
      <c r="F151" s="161">
        <f>(444005270)/1000*$F$5</f>
        <v>444005.27</v>
      </c>
      <c r="G151" s="161">
        <f>F151-(1802298+116204+5445957+4438015+332211+8285705+1361841+6213406+130743)/1000*$F$5</f>
        <v>415878.89</v>
      </c>
      <c r="H151" s="49" t="s">
        <v>26</v>
      </c>
      <c r="I151" s="3"/>
      <c r="J151" s="1" t="s">
        <v>551</v>
      </c>
    </row>
    <row r="152" spans="1:10" ht="114.75" customHeight="1" x14ac:dyDescent="0.2">
      <c r="A152" s="17" t="s">
        <v>679</v>
      </c>
      <c r="B152" s="7" t="s">
        <v>548</v>
      </c>
      <c r="C152" s="154"/>
      <c r="D152" s="160"/>
      <c r="E152" s="160"/>
      <c r="F152" s="162"/>
      <c r="G152" s="162"/>
      <c r="H152" s="49" t="s">
        <v>767</v>
      </c>
      <c r="I152" s="3"/>
    </row>
    <row r="153" spans="1:10" ht="108" x14ac:dyDescent="0.2">
      <c r="A153" s="17" t="s">
        <v>680</v>
      </c>
      <c r="B153" s="7" t="s">
        <v>768</v>
      </c>
      <c r="C153" s="29" t="s">
        <v>769</v>
      </c>
      <c r="D153" s="12" t="s">
        <v>4</v>
      </c>
      <c r="E153" s="12" t="s">
        <v>24</v>
      </c>
      <c r="F153" s="13">
        <f>(37438795+4559067)/1000*$F$5</f>
        <v>41997.862000000001</v>
      </c>
      <c r="G153" s="13">
        <f>F153-(0)/1000*$F$5</f>
        <v>41997.862000000001</v>
      </c>
      <c r="H153" s="49" t="s">
        <v>681</v>
      </c>
      <c r="I153" s="3"/>
      <c r="J153" s="1" t="s">
        <v>581</v>
      </c>
    </row>
    <row r="154" spans="1:10" ht="102" customHeight="1" x14ac:dyDescent="0.2">
      <c r="A154" s="17" t="s">
        <v>682</v>
      </c>
      <c r="B154" s="7" t="s">
        <v>557</v>
      </c>
      <c r="C154" s="152" t="s">
        <v>770</v>
      </c>
      <c r="D154" s="11" t="s">
        <v>46</v>
      </c>
      <c r="E154" s="11" t="s">
        <v>52</v>
      </c>
      <c r="F154" s="13">
        <f>(12510963+537851)/1000*$F$5</f>
        <v>13048.814</v>
      </c>
      <c r="G154" s="13">
        <f>F154-(0)/1000*$F$5</f>
        <v>13048.814</v>
      </c>
      <c r="H154" s="49" t="s">
        <v>558</v>
      </c>
      <c r="I154" s="3"/>
      <c r="J154" s="1" t="s">
        <v>562</v>
      </c>
    </row>
    <row r="155" spans="1:10" ht="60" x14ac:dyDescent="0.2">
      <c r="A155" s="17" t="s">
        <v>683</v>
      </c>
      <c r="B155" s="7" t="s">
        <v>579</v>
      </c>
      <c r="C155" s="154"/>
      <c r="D155" s="11" t="s">
        <v>488</v>
      </c>
      <c r="E155" s="11" t="s">
        <v>7</v>
      </c>
      <c r="F155" s="13">
        <f>(2281959)/1000*$F$5</f>
        <v>2281.9589999999998</v>
      </c>
      <c r="G155" s="13">
        <f>F155-(0)/1000*$F$5</f>
        <v>2281.9589999999998</v>
      </c>
      <c r="H155" s="49" t="s">
        <v>578</v>
      </c>
      <c r="I155" s="3"/>
      <c r="J155" s="1" t="s">
        <v>580</v>
      </c>
    </row>
    <row r="156" spans="1:10" ht="48" x14ac:dyDescent="0.2">
      <c r="A156" s="17" t="s">
        <v>684</v>
      </c>
      <c r="B156" s="7" t="s">
        <v>771</v>
      </c>
      <c r="C156" s="29" t="s">
        <v>632</v>
      </c>
      <c r="D156" s="11" t="s">
        <v>101</v>
      </c>
      <c r="E156" s="11" t="s">
        <v>103</v>
      </c>
      <c r="F156" s="13">
        <f>(7649009)/1000*$F$5</f>
        <v>7649.009</v>
      </c>
      <c r="G156" s="13">
        <f>F156-(0)/1000*$F$5</f>
        <v>7649.009</v>
      </c>
      <c r="H156" s="49" t="s">
        <v>633</v>
      </c>
      <c r="I156" s="3"/>
      <c r="J156" s="1" t="s">
        <v>634</v>
      </c>
    </row>
    <row r="157" spans="1:10" ht="120" x14ac:dyDescent="0.2">
      <c r="A157" s="61" t="s">
        <v>685</v>
      </c>
      <c r="B157" s="4" t="s">
        <v>559</v>
      </c>
      <c r="C157" s="29" t="s">
        <v>772</v>
      </c>
      <c r="D157" s="11" t="s">
        <v>427</v>
      </c>
      <c r="E157" s="11" t="s">
        <v>7</v>
      </c>
      <c r="F157" s="13">
        <f>(3700000)/1000*$F$5</f>
        <v>3700</v>
      </c>
      <c r="G157" s="13">
        <f>F157-(1300000)/1000*$F$5</f>
        <v>2400</v>
      </c>
      <c r="H157" s="49" t="s">
        <v>570</v>
      </c>
      <c r="I157" s="3"/>
      <c r="J157" s="1" t="s">
        <v>566</v>
      </c>
    </row>
    <row r="158" spans="1:10" ht="140.25" customHeight="1" x14ac:dyDescent="0.2">
      <c r="A158" s="17" t="s">
        <v>688</v>
      </c>
      <c r="B158" s="7" t="s">
        <v>559</v>
      </c>
      <c r="C158" s="29" t="s">
        <v>773</v>
      </c>
      <c r="D158" s="11" t="s">
        <v>54</v>
      </c>
      <c r="E158" s="11" t="s">
        <v>52</v>
      </c>
      <c r="F158" s="13">
        <f>(1555540)/1000*$F$5</f>
        <v>1555.54</v>
      </c>
      <c r="G158" s="13">
        <f>F158-(0)/1000*$F$5</f>
        <v>1555.54</v>
      </c>
      <c r="H158" s="49" t="s">
        <v>560</v>
      </c>
      <c r="I158" s="3"/>
      <c r="J158" s="1" t="s">
        <v>561</v>
      </c>
    </row>
    <row r="159" spans="1:10" ht="168" x14ac:dyDescent="0.2">
      <c r="A159" s="17" t="s">
        <v>689</v>
      </c>
      <c r="B159" s="7" t="s">
        <v>364</v>
      </c>
      <c r="C159" s="29" t="s">
        <v>687</v>
      </c>
      <c r="D159" s="11" t="s">
        <v>124</v>
      </c>
      <c r="E159" s="11" t="s">
        <v>7</v>
      </c>
      <c r="F159" s="13">
        <v>35340.406999999999</v>
      </c>
      <c r="G159" s="13">
        <v>35340.406999999999</v>
      </c>
      <c r="H159" s="49" t="s">
        <v>774</v>
      </c>
      <c r="I159" s="3"/>
      <c r="J159" s="1" t="s">
        <v>592</v>
      </c>
    </row>
    <row r="160" spans="1:10" ht="228" x14ac:dyDescent="0.2">
      <c r="A160" s="17" t="s">
        <v>690</v>
      </c>
      <c r="B160" s="7" t="s">
        <v>642</v>
      </c>
      <c r="C160" s="29" t="s">
        <v>847</v>
      </c>
      <c r="D160" s="11" t="s">
        <v>107</v>
      </c>
      <c r="E160" s="11" t="s">
        <v>63</v>
      </c>
      <c r="F160" s="13">
        <f>(21476783)/1000*$F$5</f>
        <v>21476.782999999999</v>
      </c>
      <c r="G160" s="13">
        <f>F160-(0)/1000*$F$5</f>
        <v>21476.782999999999</v>
      </c>
      <c r="H160" s="49" t="s">
        <v>643</v>
      </c>
      <c r="I160" s="3"/>
      <c r="J160" s="1" t="s">
        <v>644</v>
      </c>
    </row>
    <row r="161" spans="1:11" ht="174" customHeight="1" x14ac:dyDescent="0.2">
      <c r="A161" s="17" t="s">
        <v>691</v>
      </c>
      <c r="B161" s="7" t="s">
        <v>645</v>
      </c>
      <c r="C161" s="29" t="s">
        <v>848</v>
      </c>
      <c r="D161" s="11" t="s">
        <v>16</v>
      </c>
      <c r="E161" s="11" t="s">
        <v>63</v>
      </c>
      <c r="F161" s="13">
        <f>(89000000)/1000*$F$5</f>
        <v>89000</v>
      </c>
      <c r="G161" s="13">
        <f>F161-(0)/1000*$F$5</f>
        <v>89000</v>
      </c>
      <c r="H161" s="49" t="s">
        <v>646</v>
      </c>
      <c r="I161" s="3"/>
    </row>
    <row r="162" spans="1:11" ht="108" x14ac:dyDescent="0.2">
      <c r="A162" s="17" t="s">
        <v>693</v>
      </c>
      <c r="B162" s="7" t="s">
        <v>582</v>
      </c>
      <c r="C162" s="29" t="s">
        <v>655</v>
      </c>
      <c r="D162" s="11" t="s">
        <v>14</v>
      </c>
      <c r="E162" s="11" t="s">
        <v>91</v>
      </c>
      <c r="F162" s="13">
        <f>(2201287+41913)/1000*$F$5</f>
        <v>2243.1999999999998</v>
      </c>
      <c r="G162" s="13">
        <f>F162-(0)/1000*$F$5</f>
        <v>2243.1999999999998</v>
      </c>
      <c r="H162" s="49" t="s">
        <v>584</v>
      </c>
      <c r="I162" s="3"/>
      <c r="J162" s="1" t="s">
        <v>583</v>
      </c>
    </row>
    <row r="163" spans="1:11" ht="88.5" customHeight="1" x14ac:dyDescent="0.2">
      <c r="A163" s="17" t="s">
        <v>694</v>
      </c>
      <c r="B163" s="7" t="s">
        <v>590</v>
      </c>
      <c r="C163" s="152" t="s">
        <v>849</v>
      </c>
      <c r="D163" s="11" t="s">
        <v>35</v>
      </c>
      <c r="E163" s="11" t="s">
        <v>230</v>
      </c>
      <c r="F163" s="13">
        <f>(3829000-217990)/1000*$F$5</f>
        <v>3611.01</v>
      </c>
      <c r="G163" s="13">
        <f>F163-(262712)/1000*$F$5</f>
        <v>3348.2980000000002</v>
      </c>
      <c r="H163" s="49" t="s">
        <v>776</v>
      </c>
      <c r="I163" s="3"/>
      <c r="J163" s="1" t="s">
        <v>588</v>
      </c>
    </row>
    <row r="164" spans="1:11" ht="82.5" customHeight="1" x14ac:dyDescent="0.2">
      <c r="A164" s="17" t="s">
        <v>695</v>
      </c>
      <c r="B164" s="7" t="s">
        <v>777</v>
      </c>
      <c r="C164" s="154"/>
      <c r="D164" s="11" t="s">
        <v>7</v>
      </c>
      <c r="E164" s="62" t="s">
        <v>91</v>
      </c>
      <c r="F164" s="63">
        <f>(4794400)/1000*$F$5</f>
        <v>4794.3999999999996</v>
      </c>
      <c r="G164" s="63">
        <f>F164-(0)/1000*$F$5</f>
        <v>4794.3999999999996</v>
      </c>
      <c r="H164" s="49" t="s">
        <v>591</v>
      </c>
      <c r="I164" s="3"/>
      <c r="J164" s="1" t="s">
        <v>589</v>
      </c>
    </row>
    <row r="165" spans="1:11" ht="67.5" customHeight="1" x14ac:dyDescent="0.2">
      <c r="A165" s="17" t="s">
        <v>696</v>
      </c>
      <c r="B165" s="7" t="s">
        <v>778</v>
      </c>
      <c r="C165" s="152" t="s">
        <v>593</v>
      </c>
      <c r="D165" s="11" t="s">
        <v>91</v>
      </c>
      <c r="E165" s="11" t="s">
        <v>11</v>
      </c>
      <c r="F165" s="13">
        <f>(643438996)/1000*$F$5</f>
        <v>643438.99600000004</v>
      </c>
      <c r="G165" s="13">
        <f>F165-(323242749+25894212+30130843+582706+506567+6431012+9466678+2847445+3299873+1773039+730584+2798678+4434391+900000+2970163)/1000*$F$5</f>
        <v>227430.05600000004</v>
      </c>
      <c r="H165" s="2" t="s">
        <v>595</v>
      </c>
      <c r="I165" s="3"/>
      <c r="J165" s="1" t="s">
        <v>596</v>
      </c>
    </row>
    <row r="166" spans="1:11" ht="93" customHeight="1" x14ac:dyDescent="0.2">
      <c r="A166" s="17" t="s">
        <v>697</v>
      </c>
      <c r="B166" s="7" t="s">
        <v>594</v>
      </c>
      <c r="C166" s="153"/>
      <c r="D166" s="11" t="s">
        <v>211</v>
      </c>
      <c r="E166" s="11" t="s">
        <v>11</v>
      </c>
      <c r="F166" s="13">
        <f>(85900080)/1000*$F$5</f>
        <v>85900.08</v>
      </c>
      <c r="G166" s="13">
        <f>F166-(2220688+614603+606803)/1000*$F$5</f>
        <v>82457.986000000004</v>
      </c>
      <c r="H166" s="2" t="s">
        <v>779</v>
      </c>
      <c r="I166" s="3"/>
      <c r="J166" s="1" t="s">
        <v>597</v>
      </c>
    </row>
    <row r="167" spans="1:11" ht="168" x14ac:dyDescent="0.2">
      <c r="A167" s="17" t="s">
        <v>698</v>
      </c>
      <c r="B167" s="7" t="s">
        <v>780</v>
      </c>
      <c r="C167" s="154"/>
      <c r="D167" s="11" t="s">
        <v>11</v>
      </c>
      <c r="E167" s="11" t="s">
        <v>598</v>
      </c>
      <c r="F167" s="13">
        <f>(142758713)/1000*$F$5</f>
        <v>142758.71299999999</v>
      </c>
      <c r="G167" s="13">
        <f>F167-(3974529+2178400+550000+3601754+7356265+501298)/1000*$F$5</f>
        <v>124596.46699999999</v>
      </c>
      <c r="H167" s="23" t="s">
        <v>781</v>
      </c>
      <c r="I167" s="3"/>
    </row>
    <row r="168" spans="1:11" ht="69" customHeight="1" x14ac:dyDescent="0.2">
      <c r="A168" s="17" t="s">
        <v>700</v>
      </c>
      <c r="B168" s="7" t="s">
        <v>702</v>
      </c>
      <c r="C168" s="29" t="s">
        <v>701</v>
      </c>
      <c r="D168" s="11" t="s">
        <v>569</v>
      </c>
      <c r="E168" s="11" t="s">
        <v>91</v>
      </c>
      <c r="F168" s="13">
        <f>(18977634)/1000*$F$5</f>
        <v>18977.633999999998</v>
      </c>
      <c r="G168" s="13">
        <f>F168-(9713106)/1000*$F$5</f>
        <v>9264.5279999999984</v>
      </c>
      <c r="H168" s="29" t="s">
        <v>567</v>
      </c>
      <c r="I168" s="3"/>
      <c r="J168" s="1" t="s">
        <v>568</v>
      </c>
    </row>
    <row r="169" spans="1:11" ht="72" x14ac:dyDescent="0.2">
      <c r="A169" s="17" t="s">
        <v>704</v>
      </c>
      <c r="B169" s="7" t="s">
        <v>782</v>
      </c>
      <c r="C169" s="29" t="s">
        <v>850</v>
      </c>
      <c r="D169" s="11" t="s">
        <v>95</v>
      </c>
      <c r="E169" s="11" t="s">
        <v>104</v>
      </c>
      <c r="F169" s="13">
        <f>(10466390)/1000*$F$5</f>
        <v>10466.39</v>
      </c>
      <c r="G169" s="13">
        <f>F169-(0)/1000*$F$5</f>
        <v>10466.39</v>
      </c>
      <c r="H169" s="49" t="s">
        <v>615</v>
      </c>
      <c r="I169" s="3"/>
      <c r="J169" s="1" t="s">
        <v>614</v>
      </c>
    </row>
    <row r="170" spans="1:11" ht="96" x14ac:dyDescent="0.2">
      <c r="A170" s="61" t="s">
        <v>705</v>
      </c>
      <c r="B170" s="4" t="s">
        <v>783</v>
      </c>
      <c r="C170" s="52" t="s">
        <v>629</v>
      </c>
      <c r="D170" s="11" t="s">
        <v>95</v>
      </c>
      <c r="E170" s="11" t="s">
        <v>21</v>
      </c>
      <c r="F170" s="60">
        <f>(19971733.7)/1000*$F$5</f>
        <v>19971.733700000001</v>
      </c>
      <c r="G170" s="60">
        <f>F170-(0)/1000*$F$5</f>
        <v>19971.733700000001</v>
      </c>
      <c r="H170" s="49" t="s">
        <v>631</v>
      </c>
      <c r="I170" s="3"/>
      <c r="J170" s="50" t="s">
        <v>630</v>
      </c>
      <c r="K170" s="1">
        <v>19971733.699999999</v>
      </c>
    </row>
    <row r="171" spans="1:11" ht="60" customHeight="1" x14ac:dyDescent="0.2">
      <c r="A171" s="16" t="s">
        <v>706</v>
      </c>
      <c r="B171" s="7" t="s">
        <v>784</v>
      </c>
      <c r="C171" s="152" t="s">
        <v>571</v>
      </c>
      <c r="D171" s="19"/>
      <c r="E171" s="19"/>
      <c r="F171" s="21"/>
      <c r="G171" s="21"/>
      <c r="H171" s="45"/>
      <c r="I171" s="15"/>
    </row>
    <row r="172" spans="1:11" ht="38.25" customHeight="1" x14ac:dyDescent="0.2">
      <c r="A172" s="16" t="s">
        <v>707</v>
      </c>
      <c r="B172" s="30" t="s">
        <v>785</v>
      </c>
      <c r="C172" s="153"/>
      <c r="D172" s="19" t="s">
        <v>49</v>
      </c>
      <c r="E172" s="19" t="s">
        <v>7</v>
      </c>
      <c r="F172" s="21">
        <f>(7958431)/1000*$F$5</f>
        <v>7958.4309999999996</v>
      </c>
      <c r="G172" s="21">
        <f>F172-(0)/1000*$F$5</f>
        <v>7958.4309999999996</v>
      </c>
      <c r="H172" s="45" t="s">
        <v>572</v>
      </c>
      <c r="I172" s="15"/>
      <c r="J172" s="1" t="s">
        <v>573</v>
      </c>
    </row>
    <row r="173" spans="1:11" ht="340.5" customHeight="1" x14ac:dyDescent="0.2">
      <c r="A173" s="16" t="s">
        <v>708</v>
      </c>
      <c r="B173" s="30" t="s">
        <v>574</v>
      </c>
      <c r="C173" s="153"/>
      <c r="D173" s="19" t="s">
        <v>52</v>
      </c>
      <c r="E173" s="19" t="s">
        <v>63</v>
      </c>
      <c r="F173" s="21">
        <f>(201397276)/1000*$F$5</f>
        <v>201397.27600000001</v>
      </c>
      <c r="G173" s="21">
        <f>F173-(2563200+6523166+2974576+382255)/1000*$F$5</f>
        <v>188954.07900000003</v>
      </c>
      <c r="H173" s="45" t="s">
        <v>851</v>
      </c>
      <c r="I173" s="15"/>
      <c r="J173" s="1" t="s">
        <v>575</v>
      </c>
    </row>
    <row r="174" spans="1:11" ht="156.75" customHeight="1" x14ac:dyDescent="0.2">
      <c r="A174" s="16" t="s">
        <v>709</v>
      </c>
      <c r="B174" s="30" t="s">
        <v>576</v>
      </c>
      <c r="C174" s="153"/>
      <c r="D174" s="19" t="s">
        <v>488</v>
      </c>
      <c r="E174" s="19" t="s">
        <v>19</v>
      </c>
      <c r="F174" s="21">
        <f>(17518524)/1000*$F$5</f>
        <v>17518.524000000001</v>
      </c>
      <c r="G174" s="21">
        <f>F174-(0)/1000*$F$5</f>
        <v>17518.524000000001</v>
      </c>
      <c r="H174" s="45" t="s">
        <v>786</v>
      </c>
      <c r="I174" s="15"/>
      <c r="J174" s="1" t="s">
        <v>577</v>
      </c>
    </row>
    <row r="175" spans="1:11" ht="42" customHeight="1" x14ac:dyDescent="0.2">
      <c r="A175" s="16" t="s">
        <v>710</v>
      </c>
      <c r="B175" s="30" t="s">
        <v>599</v>
      </c>
      <c r="C175" s="153"/>
      <c r="D175" s="19" t="s">
        <v>7</v>
      </c>
      <c r="E175" s="19" t="s">
        <v>11</v>
      </c>
      <c r="F175" s="21">
        <f>(43708282)/1000*$F$5</f>
        <v>43708.281999999999</v>
      </c>
      <c r="G175" s="21">
        <f>F175-(0)/1000*$F$5</f>
        <v>43708.281999999999</v>
      </c>
      <c r="H175" s="45" t="s">
        <v>716</v>
      </c>
      <c r="I175" s="15"/>
      <c r="J175" s="1" t="s">
        <v>603</v>
      </c>
      <c r="K175" s="1">
        <v>43708282</v>
      </c>
    </row>
    <row r="176" spans="1:11" ht="81.75" customHeight="1" x14ac:dyDescent="0.2">
      <c r="A176" s="16" t="s">
        <v>711</v>
      </c>
      <c r="B176" s="30" t="s">
        <v>600</v>
      </c>
      <c r="C176" s="153"/>
      <c r="D176" s="19" t="s">
        <v>86</v>
      </c>
      <c r="E176" s="19" t="s">
        <v>511</v>
      </c>
      <c r="F176" s="21">
        <f>(6500000)/1000*$F$5</f>
        <v>6500</v>
      </c>
      <c r="G176" s="21">
        <f>F176-(0)/1000*$F$5</f>
        <v>6500</v>
      </c>
      <c r="H176" s="45" t="s">
        <v>601</v>
      </c>
      <c r="I176" s="15"/>
      <c r="J176" s="1" t="s">
        <v>602</v>
      </c>
    </row>
    <row r="177" spans="1:10" ht="48" x14ac:dyDescent="0.2">
      <c r="A177" s="16" t="s">
        <v>712</v>
      </c>
      <c r="B177" s="30" t="s">
        <v>604</v>
      </c>
      <c r="C177" s="153"/>
      <c r="D177" s="19" t="s">
        <v>137</v>
      </c>
      <c r="E177" s="19" t="s">
        <v>15</v>
      </c>
      <c r="F177" s="21">
        <f>(35378118)/1000*$F$5</f>
        <v>35378.118000000002</v>
      </c>
      <c r="G177" s="21">
        <f>F177-(3938389+901930+3555281+3476986+654073)/1000*$F$5</f>
        <v>22851.459000000003</v>
      </c>
      <c r="H177" s="45" t="s">
        <v>717</v>
      </c>
      <c r="I177" s="15"/>
      <c r="J177" s="1" t="s">
        <v>605</v>
      </c>
    </row>
    <row r="178" spans="1:10" ht="36" x14ac:dyDescent="0.2">
      <c r="A178" s="16" t="s">
        <v>713</v>
      </c>
      <c r="B178" s="30" t="s">
        <v>607</v>
      </c>
      <c r="C178" s="153"/>
      <c r="D178" s="19" t="s">
        <v>137</v>
      </c>
      <c r="E178" s="19" t="s">
        <v>606</v>
      </c>
      <c r="F178" s="21">
        <f>(33543354)/1000*$F$5</f>
        <v>33543.353999999999</v>
      </c>
      <c r="G178" s="21">
        <f>F178-(4632327+4377223+2736212)/1000*$F$5</f>
        <v>21797.591999999997</v>
      </c>
      <c r="H178" s="45" t="s">
        <v>718</v>
      </c>
      <c r="I178" s="15"/>
      <c r="J178" s="1" t="s">
        <v>608</v>
      </c>
    </row>
    <row r="179" spans="1:10" ht="96" x14ac:dyDescent="0.2">
      <c r="A179" s="16" t="s">
        <v>714</v>
      </c>
      <c r="B179" s="30" t="s">
        <v>607</v>
      </c>
      <c r="C179" s="153"/>
      <c r="D179" s="19" t="s">
        <v>137</v>
      </c>
      <c r="E179" s="19" t="s">
        <v>610</v>
      </c>
      <c r="F179" s="21">
        <f>(20995727)/1000*$F$5</f>
        <v>20995.726999999999</v>
      </c>
      <c r="G179" s="21">
        <f>F179-(11424321)/1000*$F$5</f>
        <v>9571.405999999999</v>
      </c>
      <c r="H179" s="45" t="s">
        <v>719</v>
      </c>
      <c r="I179" s="15"/>
      <c r="J179" s="1" t="s">
        <v>609</v>
      </c>
    </row>
    <row r="180" spans="1:10" ht="56.25" customHeight="1" x14ac:dyDescent="0.2">
      <c r="A180" s="17" t="s">
        <v>715</v>
      </c>
      <c r="B180" s="30" t="s">
        <v>611</v>
      </c>
      <c r="C180" s="154"/>
      <c r="D180" s="19" t="s">
        <v>95</v>
      </c>
      <c r="E180" s="19" t="s">
        <v>613</v>
      </c>
      <c r="F180" s="21">
        <f>(5000000)/1000*$F$5</f>
        <v>5000</v>
      </c>
      <c r="G180" s="21">
        <f>F180-(1932000)/1000*$F$5</f>
        <v>3068</v>
      </c>
      <c r="H180" s="45" t="s">
        <v>720</v>
      </c>
      <c r="I180" s="15"/>
      <c r="J180" s="1" t="s">
        <v>612</v>
      </c>
    </row>
    <row r="181" spans="1:10" ht="36.75" customHeight="1" x14ac:dyDescent="0.2">
      <c r="A181" s="16" t="s">
        <v>721</v>
      </c>
      <c r="B181" s="7" t="s">
        <v>787</v>
      </c>
      <c r="C181" s="152" t="s">
        <v>789</v>
      </c>
      <c r="D181" s="18"/>
      <c r="E181" s="18"/>
      <c r="F181" s="20">
        <f>(0)/1000*$F$5</f>
        <v>0</v>
      </c>
      <c r="G181" s="20">
        <f t="shared" ref="G181:G186" si="6">F181-(0)/1000*$F$5</f>
        <v>0</v>
      </c>
      <c r="H181" s="26"/>
      <c r="I181" s="34"/>
    </row>
    <row r="182" spans="1:10" ht="36" x14ac:dyDescent="0.2">
      <c r="A182" s="16" t="s">
        <v>722</v>
      </c>
      <c r="B182" s="30" t="s">
        <v>788</v>
      </c>
      <c r="C182" s="153"/>
      <c r="D182" s="19" t="s">
        <v>176</v>
      </c>
      <c r="E182" s="19" t="s">
        <v>48</v>
      </c>
      <c r="F182" s="21">
        <f>(6900000+4477636)/1000*$F$5</f>
        <v>11377.636</v>
      </c>
      <c r="G182" s="21">
        <f t="shared" si="6"/>
        <v>11377.636</v>
      </c>
      <c r="H182" s="27" t="s">
        <v>451</v>
      </c>
      <c r="I182" s="33"/>
      <c r="J182" s="47" t="s">
        <v>452</v>
      </c>
    </row>
    <row r="183" spans="1:10" ht="108" x14ac:dyDescent="0.2">
      <c r="A183" s="16" t="s">
        <v>723</v>
      </c>
      <c r="B183" s="30" t="s">
        <v>453</v>
      </c>
      <c r="C183" s="153"/>
      <c r="D183" s="19" t="s">
        <v>176</v>
      </c>
      <c r="E183" s="19" t="s">
        <v>181</v>
      </c>
      <c r="F183" s="21">
        <f>(11864407)/1000*$F$5</f>
        <v>11864.406999999999</v>
      </c>
      <c r="G183" s="21">
        <f t="shared" si="6"/>
        <v>11864.406999999999</v>
      </c>
      <c r="H183" s="27" t="s">
        <v>538</v>
      </c>
      <c r="I183" s="33"/>
      <c r="J183" s="1" t="s">
        <v>456</v>
      </c>
    </row>
    <row r="184" spans="1:10" ht="36" x14ac:dyDescent="0.2">
      <c r="A184" s="16" t="s">
        <v>724</v>
      </c>
      <c r="B184" s="30" t="s">
        <v>457</v>
      </c>
      <c r="C184" s="153"/>
      <c r="D184" s="19" t="s">
        <v>295</v>
      </c>
      <c r="E184" s="24" t="s">
        <v>48</v>
      </c>
      <c r="F184" s="21">
        <f>(2633979.11)/1000*$F$5</f>
        <v>2633.9791099999998</v>
      </c>
      <c r="G184" s="21">
        <f t="shared" si="6"/>
        <v>2633.9791099999998</v>
      </c>
      <c r="H184" s="27" t="s">
        <v>466</v>
      </c>
      <c r="I184" s="33"/>
      <c r="J184" s="1" t="s">
        <v>460</v>
      </c>
    </row>
    <row r="185" spans="1:10" ht="36" x14ac:dyDescent="0.2">
      <c r="A185" s="16" t="s">
        <v>725</v>
      </c>
      <c r="B185" s="30" t="s">
        <v>458</v>
      </c>
      <c r="C185" s="153"/>
      <c r="D185" s="19" t="s">
        <v>410</v>
      </c>
      <c r="E185" s="24" t="s">
        <v>13</v>
      </c>
      <c r="F185" s="21">
        <f>(2058211.12)/1000*$F$5</f>
        <v>2058.2111199999999</v>
      </c>
      <c r="G185" s="21">
        <f t="shared" si="6"/>
        <v>2058.2111199999999</v>
      </c>
      <c r="H185" s="27" t="s">
        <v>539</v>
      </c>
      <c r="I185" s="33"/>
      <c r="J185" s="1" t="s">
        <v>459</v>
      </c>
    </row>
    <row r="186" spans="1:10" ht="48" x14ac:dyDescent="0.2">
      <c r="A186" s="16" t="s">
        <v>726</v>
      </c>
      <c r="B186" s="30" t="s">
        <v>461</v>
      </c>
      <c r="C186" s="153"/>
      <c r="D186" s="19" t="s">
        <v>126</v>
      </c>
      <c r="E186" s="24" t="s">
        <v>410</v>
      </c>
      <c r="F186" s="21">
        <f>(2038983)/1000*$F$5</f>
        <v>2038.9829999999999</v>
      </c>
      <c r="G186" s="21">
        <f t="shared" si="6"/>
        <v>2038.9829999999999</v>
      </c>
      <c r="H186" s="27" t="s">
        <v>462</v>
      </c>
      <c r="I186" s="33"/>
      <c r="J186" s="1" t="s">
        <v>465</v>
      </c>
    </row>
    <row r="187" spans="1:10" ht="36" x14ac:dyDescent="0.2">
      <c r="A187" s="16" t="s">
        <v>727</v>
      </c>
      <c r="B187" s="30" t="s">
        <v>464</v>
      </c>
      <c r="C187" s="153"/>
      <c r="D187" s="19" t="s">
        <v>8</v>
      </c>
      <c r="E187" s="24" t="s">
        <v>14</v>
      </c>
      <c r="F187" s="21">
        <f>(130768063)/1000*$F$5</f>
        <v>130768.06299999999</v>
      </c>
      <c r="G187" s="21">
        <f>F187-(25018370+1469829+12347573)/1000*$F$5</f>
        <v>91932.290999999997</v>
      </c>
      <c r="H187" s="27" t="s">
        <v>467</v>
      </c>
      <c r="I187" s="33"/>
      <c r="J187" s="1" t="s">
        <v>468</v>
      </c>
    </row>
    <row r="188" spans="1:10" ht="84" x14ac:dyDescent="0.2">
      <c r="A188" s="16" t="s">
        <v>728</v>
      </c>
      <c r="B188" s="30" t="s">
        <v>469</v>
      </c>
      <c r="C188" s="153"/>
      <c r="D188" s="19" t="s">
        <v>179</v>
      </c>
      <c r="E188" s="19" t="s">
        <v>7</v>
      </c>
      <c r="F188" s="21">
        <f>(5544496)/1000*$F$5</f>
        <v>5544.4960000000001</v>
      </c>
      <c r="G188" s="21">
        <f>F188-(0)/1000*$F$5</f>
        <v>5544.4960000000001</v>
      </c>
      <c r="H188" s="27" t="s">
        <v>470</v>
      </c>
      <c r="I188" s="33"/>
      <c r="J188" s="1" t="s">
        <v>471</v>
      </c>
    </row>
    <row r="189" spans="1:10" ht="48" x14ac:dyDescent="0.2">
      <c r="A189" s="16" t="s">
        <v>729</v>
      </c>
      <c r="B189" s="30" t="s">
        <v>472</v>
      </c>
      <c r="C189" s="153"/>
      <c r="D189" s="19" t="s">
        <v>78</v>
      </c>
      <c r="E189" s="19" t="s">
        <v>78</v>
      </c>
      <c r="F189" s="21">
        <f>(829818)/1000*$F$5</f>
        <v>829.81799999999998</v>
      </c>
      <c r="G189" s="21">
        <f>F189-(0)/1000*$F$5</f>
        <v>829.81799999999998</v>
      </c>
      <c r="H189" s="27" t="s">
        <v>475</v>
      </c>
      <c r="I189" s="33"/>
      <c r="J189" s="1" t="s">
        <v>473</v>
      </c>
    </row>
    <row r="190" spans="1:10" ht="60" x14ac:dyDescent="0.2">
      <c r="A190" s="16" t="s">
        <v>730</v>
      </c>
      <c r="B190" s="30" t="s">
        <v>474</v>
      </c>
      <c r="C190" s="153"/>
      <c r="D190" s="19" t="s">
        <v>124</v>
      </c>
      <c r="E190" s="19" t="s">
        <v>14</v>
      </c>
      <c r="F190" s="21">
        <f>(100377169)/1000*$F$5</f>
        <v>100377.16899999999</v>
      </c>
      <c r="G190" s="21">
        <f>F190-(25100604.84)/1000*$F$5</f>
        <v>75276.564159999994</v>
      </c>
      <c r="H190" s="27" t="s">
        <v>476</v>
      </c>
      <c r="I190" s="33"/>
      <c r="J190" s="1" t="s">
        <v>477</v>
      </c>
    </row>
    <row r="191" spans="1:10" ht="60" x14ac:dyDescent="0.2">
      <c r="A191" s="16" t="s">
        <v>731</v>
      </c>
      <c r="B191" s="30" t="s">
        <v>478</v>
      </c>
      <c r="C191" s="153"/>
      <c r="D191" s="19" t="s">
        <v>4</v>
      </c>
      <c r="E191" s="19" t="s">
        <v>24</v>
      </c>
      <c r="F191" s="21">
        <f>(22587631)/1000*$F$5</f>
        <v>22587.631000000001</v>
      </c>
      <c r="G191" s="21">
        <f>F191-(0)/1000*$F$5</f>
        <v>22587.631000000001</v>
      </c>
      <c r="H191" s="45" t="s">
        <v>479</v>
      </c>
      <c r="I191" s="33"/>
      <c r="J191" s="1" t="s">
        <v>480</v>
      </c>
    </row>
    <row r="192" spans="1:10" ht="23.25" customHeight="1" x14ac:dyDescent="0.2">
      <c r="A192" s="16" t="s">
        <v>732</v>
      </c>
      <c r="B192" s="41" t="s">
        <v>481</v>
      </c>
      <c r="C192" s="153"/>
      <c r="D192" s="19" t="s">
        <v>427</v>
      </c>
      <c r="E192" s="19" t="s">
        <v>84</v>
      </c>
      <c r="F192" s="21">
        <f>(24378308.18)/1000*$F$5</f>
        <v>24378.30818</v>
      </c>
      <c r="G192" s="21">
        <f>F192-(3669923.61)/1000*$F$5</f>
        <v>20708.384570000002</v>
      </c>
      <c r="H192" s="27" t="s">
        <v>482</v>
      </c>
      <c r="I192" s="33"/>
      <c r="J192" s="1" t="s">
        <v>483</v>
      </c>
    </row>
    <row r="193" spans="1:10" ht="48" x14ac:dyDescent="0.2">
      <c r="A193" s="16" t="s">
        <v>733</v>
      </c>
      <c r="B193" s="30" t="s">
        <v>485</v>
      </c>
      <c r="C193" s="153"/>
      <c r="D193" s="19" t="s">
        <v>427</v>
      </c>
      <c r="E193" s="24" t="s">
        <v>230</v>
      </c>
      <c r="F193" s="21">
        <f>(18119912)/1000*$F$5</f>
        <v>18119.912</v>
      </c>
      <c r="G193" s="21">
        <f>F193-(0)/1000*$F$5</f>
        <v>18119.912</v>
      </c>
      <c r="H193" s="27" t="s">
        <v>487</v>
      </c>
      <c r="I193" s="33"/>
      <c r="J193" s="1" t="s">
        <v>486</v>
      </c>
    </row>
    <row r="194" spans="1:10" ht="60" x14ac:dyDescent="0.2">
      <c r="A194" s="16" t="s">
        <v>734</v>
      </c>
      <c r="B194" s="30" t="s">
        <v>484</v>
      </c>
      <c r="C194" s="153"/>
      <c r="D194" s="19" t="s">
        <v>427</v>
      </c>
      <c r="E194" s="19" t="s">
        <v>488</v>
      </c>
      <c r="F194" s="21">
        <f>(50693441.39)/1000*$F$5</f>
        <v>50693.44139</v>
      </c>
      <c r="G194" s="21">
        <f>F194-(7118161)/1000*$F$5</f>
        <v>43575.28039</v>
      </c>
      <c r="H194" s="27" t="s">
        <v>489</v>
      </c>
      <c r="I194" s="33"/>
      <c r="J194" s="1" t="s">
        <v>490</v>
      </c>
    </row>
    <row r="195" spans="1:10" ht="36" x14ac:dyDescent="0.2">
      <c r="A195" s="16" t="s">
        <v>735</v>
      </c>
      <c r="B195" s="30" t="s">
        <v>491</v>
      </c>
      <c r="C195" s="153"/>
      <c r="D195" s="19" t="s">
        <v>230</v>
      </c>
      <c r="E195" s="24" t="s">
        <v>7</v>
      </c>
      <c r="F195" s="21">
        <f>(1289255)/1000*$F$5</f>
        <v>1289.2550000000001</v>
      </c>
      <c r="G195" s="21">
        <f>F195-(0)/1000*$F$5</f>
        <v>1289.2550000000001</v>
      </c>
      <c r="H195" s="27" t="s">
        <v>492</v>
      </c>
      <c r="I195" s="33"/>
      <c r="J195" s="1" t="s">
        <v>493</v>
      </c>
    </row>
    <row r="196" spans="1:10" ht="24" x14ac:dyDescent="0.2">
      <c r="A196" s="16" t="s">
        <v>736</v>
      </c>
      <c r="B196" s="30" t="s">
        <v>495</v>
      </c>
      <c r="C196" s="153"/>
      <c r="D196" s="19" t="s">
        <v>230</v>
      </c>
      <c r="E196" s="24" t="s">
        <v>7</v>
      </c>
      <c r="F196" s="21">
        <f>(998697)/1000*$F$5</f>
        <v>998.697</v>
      </c>
      <c r="G196" s="21">
        <f>F196-(0)/1000*$F$5</f>
        <v>998.697</v>
      </c>
      <c r="H196" s="27" t="s">
        <v>540</v>
      </c>
      <c r="I196" s="33"/>
      <c r="J196" s="1" t="s">
        <v>494</v>
      </c>
    </row>
    <row r="197" spans="1:10" ht="72" x14ac:dyDescent="0.2">
      <c r="A197" s="16" t="s">
        <v>737</v>
      </c>
      <c r="B197" s="30" t="s">
        <v>497</v>
      </c>
      <c r="C197" s="153"/>
      <c r="D197" s="19" t="s">
        <v>499</v>
      </c>
      <c r="E197" s="24" t="s">
        <v>500</v>
      </c>
      <c r="F197" s="21">
        <f>(4308132)/1000*$F$5</f>
        <v>4308.1319999999996</v>
      </c>
      <c r="G197" s="21">
        <f>F197-(1306408)/1000*$F$5</f>
        <v>3001.7239999999997</v>
      </c>
      <c r="H197" s="27" t="s">
        <v>498</v>
      </c>
      <c r="I197" s="33"/>
      <c r="J197" s="1" t="s">
        <v>496</v>
      </c>
    </row>
    <row r="198" spans="1:10" ht="36" x14ac:dyDescent="0.2">
      <c r="A198" s="16" t="s">
        <v>738</v>
      </c>
      <c r="B198" s="30" t="s">
        <v>501</v>
      </c>
      <c r="C198" s="153"/>
      <c r="D198" s="19" t="s">
        <v>132</v>
      </c>
      <c r="E198" s="24" t="s">
        <v>9</v>
      </c>
      <c r="F198" s="21">
        <f>(12401096)/1000*$F$5</f>
        <v>12401.096</v>
      </c>
      <c r="G198" s="21">
        <f t="shared" ref="G198:G221" si="7">F198-(0)/1000*$F$5</f>
        <v>12401.096</v>
      </c>
      <c r="H198" s="27" t="s">
        <v>502</v>
      </c>
      <c r="I198" s="33"/>
      <c r="J198" s="1" t="s">
        <v>503</v>
      </c>
    </row>
    <row r="199" spans="1:10" ht="48" x14ac:dyDescent="0.2">
      <c r="A199" s="16" t="s">
        <v>739</v>
      </c>
      <c r="B199" s="30" t="s">
        <v>509</v>
      </c>
      <c r="C199" s="153"/>
      <c r="D199" s="19" t="s">
        <v>7</v>
      </c>
      <c r="E199" s="19" t="s">
        <v>93</v>
      </c>
      <c r="F199" s="21">
        <f>(1022700)/1000*$F$5</f>
        <v>1022.7</v>
      </c>
      <c r="G199" s="21">
        <f t="shared" si="7"/>
        <v>1022.7</v>
      </c>
      <c r="H199" s="27" t="s">
        <v>505</v>
      </c>
      <c r="I199" s="33"/>
      <c r="J199" s="1" t="s">
        <v>504</v>
      </c>
    </row>
    <row r="200" spans="1:10" ht="48" x14ac:dyDescent="0.2">
      <c r="A200" s="16" t="s">
        <v>740</v>
      </c>
      <c r="B200" s="30" t="s">
        <v>509</v>
      </c>
      <c r="C200" s="153"/>
      <c r="D200" s="19" t="s">
        <v>508</v>
      </c>
      <c r="E200" s="19" t="s">
        <v>86</v>
      </c>
      <c r="F200" s="21">
        <f>(8552344)/1000*$F$5</f>
        <v>8552.3439999999991</v>
      </c>
      <c r="G200" s="21">
        <f t="shared" si="7"/>
        <v>8552.3439999999991</v>
      </c>
      <c r="H200" s="27" t="s">
        <v>507</v>
      </c>
      <c r="I200" s="33"/>
      <c r="J200" s="1" t="s">
        <v>506</v>
      </c>
    </row>
    <row r="201" spans="1:10" ht="48" x14ac:dyDescent="0.2">
      <c r="A201" s="16" t="s">
        <v>741</v>
      </c>
      <c r="B201" s="30" t="s">
        <v>541</v>
      </c>
      <c r="C201" s="153"/>
      <c r="D201" s="19" t="s">
        <v>86</v>
      </c>
      <c r="E201" s="19" t="s">
        <v>511</v>
      </c>
      <c r="F201" s="21">
        <f>(1554362)/1000*$F$5</f>
        <v>1554.3620000000001</v>
      </c>
      <c r="G201" s="21">
        <f t="shared" si="7"/>
        <v>1554.3620000000001</v>
      </c>
      <c r="H201" s="27" t="s">
        <v>512</v>
      </c>
      <c r="I201" s="33"/>
      <c r="J201" s="1" t="s">
        <v>510</v>
      </c>
    </row>
    <row r="202" spans="1:10" ht="48" x14ac:dyDescent="0.2">
      <c r="A202" s="16" t="s">
        <v>742</v>
      </c>
      <c r="B202" s="30" t="s">
        <v>514</v>
      </c>
      <c r="C202" s="153"/>
      <c r="D202" s="19" t="s">
        <v>511</v>
      </c>
      <c r="E202" s="19" t="s">
        <v>95</v>
      </c>
      <c r="F202" s="21">
        <f>(5110000)/1000*$F$5</f>
        <v>5110</v>
      </c>
      <c r="G202" s="21">
        <f t="shared" si="7"/>
        <v>5110</v>
      </c>
      <c r="H202" s="45" t="s">
        <v>515</v>
      </c>
      <c r="I202" s="33"/>
      <c r="J202" s="1" t="s">
        <v>513</v>
      </c>
    </row>
    <row r="203" spans="1:10" ht="36" x14ac:dyDescent="0.2">
      <c r="A203" s="16" t="s">
        <v>743</v>
      </c>
      <c r="B203" s="30" t="s">
        <v>517</v>
      </c>
      <c r="C203" s="153"/>
      <c r="D203" s="19" t="s">
        <v>58</v>
      </c>
      <c r="E203" s="19" t="s">
        <v>58</v>
      </c>
      <c r="F203" s="21">
        <f>(3205702)/1000*$F$5</f>
        <v>3205.7020000000002</v>
      </c>
      <c r="G203" s="21">
        <f t="shared" si="7"/>
        <v>3205.7020000000002</v>
      </c>
      <c r="H203" s="27" t="s">
        <v>482</v>
      </c>
      <c r="I203" s="33"/>
      <c r="J203" s="1" t="s">
        <v>516</v>
      </c>
    </row>
    <row r="204" spans="1:10" ht="36" x14ac:dyDescent="0.2">
      <c r="A204" s="16" t="s">
        <v>744</v>
      </c>
      <c r="B204" s="30" t="s">
        <v>542</v>
      </c>
      <c r="C204" s="153"/>
      <c r="D204" s="19" t="s">
        <v>91</v>
      </c>
      <c r="E204" s="24" t="s">
        <v>139</v>
      </c>
      <c r="F204" s="21">
        <f>(9056742)/1000*$F$5</f>
        <v>9056.7420000000002</v>
      </c>
      <c r="G204" s="21">
        <f t="shared" si="7"/>
        <v>9056.7420000000002</v>
      </c>
      <c r="H204" s="27" t="s">
        <v>521</v>
      </c>
      <c r="I204" s="33"/>
      <c r="J204" s="1" t="s">
        <v>518</v>
      </c>
    </row>
    <row r="205" spans="1:10" ht="36" x14ac:dyDescent="0.2">
      <c r="A205" s="16" t="s">
        <v>745</v>
      </c>
      <c r="B205" s="30" t="s">
        <v>542</v>
      </c>
      <c r="C205" s="153"/>
      <c r="D205" s="19" t="s">
        <v>139</v>
      </c>
      <c r="E205" s="19" t="s">
        <v>211</v>
      </c>
      <c r="F205" s="21">
        <f>(3645714)/1000*$F$5</f>
        <v>3645.7139999999999</v>
      </c>
      <c r="G205" s="21">
        <f t="shared" si="7"/>
        <v>3645.7139999999999</v>
      </c>
      <c r="H205" s="27" t="s">
        <v>523</v>
      </c>
      <c r="I205" s="33"/>
      <c r="J205" s="1" t="s">
        <v>522</v>
      </c>
    </row>
    <row r="206" spans="1:10" ht="72" x14ac:dyDescent="0.2">
      <c r="A206" s="16" t="s">
        <v>746</v>
      </c>
      <c r="B206" s="30" t="s">
        <v>542</v>
      </c>
      <c r="C206" s="153"/>
      <c r="D206" s="19" t="s">
        <v>211</v>
      </c>
      <c r="E206" s="24" t="s">
        <v>519</v>
      </c>
      <c r="F206" s="21">
        <f>(5120965)/1000*$F$5</f>
        <v>5120.9650000000001</v>
      </c>
      <c r="G206" s="21">
        <f t="shared" si="7"/>
        <v>5120.9650000000001</v>
      </c>
      <c r="H206" s="27" t="s">
        <v>790</v>
      </c>
      <c r="I206" s="33"/>
      <c r="J206" s="1" t="s">
        <v>520</v>
      </c>
    </row>
    <row r="207" spans="1:10" ht="36" x14ac:dyDescent="0.2">
      <c r="A207" s="16" t="s">
        <v>747</v>
      </c>
      <c r="B207" s="30" t="s">
        <v>525</v>
      </c>
      <c r="C207" s="153"/>
      <c r="D207" s="19" t="s">
        <v>101</v>
      </c>
      <c r="E207" s="24" t="s">
        <v>141</v>
      </c>
      <c r="F207" s="21">
        <f>(3928184)/1000*$F$5</f>
        <v>3928.1840000000002</v>
      </c>
      <c r="G207" s="21">
        <f t="shared" si="7"/>
        <v>3928.1840000000002</v>
      </c>
      <c r="H207" s="27" t="s">
        <v>528</v>
      </c>
      <c r="I207" s="33"/>
      <c r="J207" s="1" t="s">
        <v>524</v>
      </c>
    </row>
    <row r="208" spans="1:10" ht="36" x14ac:dyDescent="0.2">
      <c r="A208" s="16" t="s">
        <v>748</v>
      </c>
      <c r="B208" s="30" t="s">
        <v>526</v>
      </c>
      <c r="C208" s="153"/>
      <c r="D208" s="19" t="s">
        <v>104</v>
      </c>
      <c r="E208" s="24" t="s">
        <v>20</v>
      </c>
      <c r="F208" s="21">
        <f>(1807561)/1000*$F$5</f>
        <v>1807.5609999999999</v>
      </c>
      <c r="G208" s="21">
        <f t="shared" si="7"/>
        <v>1807.5609999999999</v>
      </c>
      <c r="H208" s="27" t="s">
        <v>422</v>
      </c>
      <c r="I208" s="33"/>
      <c r="J208" s="1" t="s">
        <v>527</v>
      </c>
    </row>
    <row r="209" spans="1:10" ht="84" x14ac:dyDescent="0.2">
      <c r="A209" s="16" t="s">
        <v>749</v>
      </c>
      <c r="B209" s="30" t="s">
        <v>529</v>
      </c>
      <c r="C209" s="153"/>
      <c r="D209" s="19" t="s">
        <v>107</v>
      </c>
      <c r="E209" s="24" t="s">
        <v>531</v>
      </c>
      <c r="F209" s="21">
        <f>(3056511)/1000*$F$5</f>
        <v>3056.511</v>
      </c>
      <c r="G209" s="21">
        <f t="shared" si="7"/>
        <v>3056.511</v>
      </c>
      <c r="H209" s="27" t="s">
        <v>530</v>
      </c>
      <c r="I209" s="33"/>
      <c r="J209" s="1" t="s">
        <v>532</v>
      </c>
    </row>
    <row r="210" spans="1:10" ht="36" x14ac:dyDescent="0.2">
      <c r="A210" s="17" t="s">
        <v>750</v>
      </c>
      <c r="B210" s="30" t="s">
        <v>534</v>
      </c>
      <c r="C210" s="154"/>
      <c r="D210" s="19" t="s">
        <v>107</v>
      </c>
      <c r="E210" s="24" t="s">
        <v>17</v>
      </c>
      <c r="F210" s="13">
        <f>(6230000)/1000*$F$5</f>
        <v>6230</v>
      </c>
      <c r="G210" s="13">
        <f t="shared" si="7"/>
        <v>6230</v>
      </c>
      <c r="H210" s="27" t="s">
        <v>535</v>
      </c>
      <c r="I210" s="33"/>
      <c r="J210" s="1" t="s">
        <v>533</v>
      </c>
    </row>
    <row r="211" spans="1:10" ht="96" x14ac:dyDescent="0.2">
      <c r="A211" s="17" t="s">
        <v>751</v>
      </c>
      <c r="B211" s="4" t="s">
        <v>791</v>
      </c>
      <c r="C211" s="52" t="s">
        <v>792</v>
      </c>
      <c r="D211" s="11" t="s">
        <v>86</v>
      </c>
      <c r="E211" s="11" t="s">
        <v>91</v>
      </c>
      <c r="F211" s="13">
        <f>(2720619)/1000*$F$5</f>
        <v>2720.6190000000001</v>
      </c>
      <c r="G211" s="13">
        <f t="shared" si="7"/>
        <v>2720.6190000000001</v>
      </c>
      <c r="H211" s="2" t="s">
        <v>793</v>
      </c>
      <c r="I211" s="3"/>
      <c r="J211" s="1" t="s">
        <v>628</v>
      </c>
    </row>
    <row r="212" spans="1:10" ht="48" x14ac:dyDescent="0.2">
      <c r="A212" s="17" t="s">
        <v>752</v>
      </c>
      <c r="B212" s="7" t="s">
        <v>635</v>
      </c>
      <c r="C212" s="52" t="s">
        <v>636</v>
      </c>
      <c r="D212" s="11" t="s">
        <v>22</v>
      </c>
      <c r="E212" s="11" t="s">
        <v>18</v>
      </c>
      <c r="F212" s="13">
        <f>(6361573.23)/1000*$F$5</f>
        <v>6361.5732300000009</v>
      </c>
      <c r="G212" s="13">
        <f t="shared" si="7"/>
        <v>6361.5732300000009</v>
      </c>
      <c r="H212" s="2" t="s">
        <v>639</v>
      </c>
      <c r="I212" s="3"/>
    </row>
    <row r="213" spans="1:10" ht="72" x14ac:dyDescent="0.2">
      <c r="A213" s="17" t="s">
        <v>753</v>
      </c>
      <c r="B213" s="7" t="s">
        <v>616</v>
      </c>
      <c r="C213" s="52" t="s">
        <v>619</v>
      </c>
      <c r="D213" s="11" t="s">
        <v>93</v>
      </c>
      <c r="E213" s="11" t="s">
        <v>9</v>
      </c>
      <c r="F213" s="13">
        <f>(5002224)/1000*$F$5</f>
        <v>5002.2240000000002</v>
      </c>
      <c r="G213" s="13">
        <f t="shared" si="7"/>
        <v>5002.2240000000002</v>
      </c>
      <c r="H213" s="2" t="s">
        <v>617</v>
      </c>
      <c r="I213" s="3"/>
      <c r="J213" s="1" t="s">
        <v>618</v>
      </c>
    </row>
    <row r="214" spans="1:10" ht="60" x14ac:dyDescent="0.2">
      <c r="A214" s="17" t="s">
        <v>754</v>
      </c>
      <c r="B214" s="7" t="s">
        <v>794</v>
      </c>
      <c r="C214" s="52" t="s">
        <v>795</v>
      </c>
      <c r="D214" s="11" t="s">
        <v>177</v>
      </c>
      <c r="E214" s="11" t="s">
        <v>8</v>
      </c>
      <c r="F214" s="13">
        <f>(6175000+2850000)/1000*$F$5</f>
        <v>9025</v>
      </c>
      <c r="G214" s="13">
        <f t="shared" si="7"/>
        <v>9025</v>
      </c>
      <c r="H214" s="2" t="s">
        <v>549</v>
      </c>
      <c r="I214" s="3"/>
      <c r="J214" s="47" t="s">
        <v>550</v>
      </c>
    </row>
    <row r="215" spans="1:10" ht="84" x14ac:dyDescent="0.2">
      <c r="A215" s="16" t="s">
        <v>755</v>
      </c>
      <c r="B215" s="66" t="s">
        <v>798</v>
      </c>
      <c r="C215" s="52" t="s">
        <v>555</v>
      </c>
      <c r="D215" s="11" t="s">
        <v>410</v>
      </c>
      <c r="E215" s="11" t="s">
        <v>127</v>
      </c>
      <c r="F215" s="13">
        <f>(2130356+1597705)/1000*$F$5</f>
        <v>3728.0610000000001</v>
      </c>
      <c r="G215" s="13">
        <f t="shared" si="7"/>
        <v>3728.0610000000001</v>
      </c>
      <c r="H215" s="2" t="s">
        <v>553</v>
      </c>
      <c r="I215" s="3"/>
    </row>
    <row r="216" spans="1:10" ht="60" x14ac:dyDescent="0.2">
      <c r="A216" s="16" t="s">
        <v>757</v>
      </c>
      <c r="B216" s="67"/>
      <c r="C216" s="155" t="s">
        <v>554</v>
      </c>
      <c r="D216" s="19" t="s">
        <v>49</v>
      </c>
      <c r="E216" s="19" t="s">
        <v>54</v>
      </c>
      <c r="F216" s="21">
        <f>(946726+686086)/1000*$F$5</f>
        <v>1632.8119999999999</v>
      </c>
      <c r="G216" s="21">
        <f t="shared" si="7"/>
        <v>1632.8119999999999</v>
      </c>
      <c r="H216" s="45" t="s">
        <v>564</v>
      </c>
      <c r="I216" s="33"/>
      <c r="J216" s="47" t="s">
        <v>563</v>
      </c>
    </row>
    <row r="217" spans="1:10" ht="36" x14ac:dyDescent="0.2">
      <c r="A217" s="16" t="s">
        <v>758</v>
      </c>
      <c r="B217" s="67"/>
      <c r="C217" s="156"/>
      <c r="D217" s="19" t="s">
        <v>4</v>
      </c>
      <c r="E217" s="19" t="s">
        <v>5</v>
      </c>
      <c r="F217" s="21">
        <f>(740000+867118)/1000*$F$5</f>
        <v>1607.1179999999999</v>
      </c>
      <c r="G217" s="21">
        <f t="shared" si="7"/>
        <v>1607.1179999999999</v>
      </c>
      <c r="H217" s="45" t="s">
        <v>565</v>
      </c>
      <c r="I217" s="33"/>
      <c r="J217" s="47" t="s">
        <v>620</v>
      </c>
    </row>
    <row r="218" spans="1:10" ht="36" x14ac:dyDescent="0.2">
      <c r="A218" s="16" t="s">
        <v>759</v>
      </c>
      <c r="B218" s="67"/>
      <c r="C218" s="156"/>
      <c r="D218" s="19" t="s">
        <v>137</v>
      </c>
      <c r="E218" s="19" t="s">
        <v>9</v>
      </c>
      <c r="F218" s="21">
        <f>(1509648+1083366)/1000*$F$5</f>
        <v>2593.0140000000001</v>
      </c>
      <c r="G218" s="21">
        <f t="shared" si="7"/>
        <v>2593.0140000000001</v>
      </c>
      <c r="H218" s="45" t="s">
        <v>565</v>
      </c>
      <c r="I218" s="33"/>
      <c r="J218" s="47" t="s">
        <v>621</v>
      </c>
    </row>
    <row r="219" spans="1:10" ht="36" x14ac:dyDescent="0.2">
      <c r="A219" s="16" t="s">
        <v>760</v>
      </c>
      <c r="B219" s="67"/>
      <c r="C219" s="156"/>
      <c r="D219" s="19" t="s">
        <v>508</v>
      </c>
      <c r="E219" s="19" t="s">
        <v>16</v>
      </c>
      <c r="F219" s="21">
        <f>(4608712+1700000)/1000*$F$5</f>
        <v>6308.7120000000004</v>
      </c>
      <c r="G219" s="21">
        <f t="shared" si="7"/>
        <v>6308.7120000000004</v>
      </c>
      <c r="H219" s="45" t="s">
        <v>565</v>
      </c>
      <c r="I219" s="33"/>
      <c r="J219" s="47" t="s">
        <v>623</v>
      </c>
    </row>
    <row r="220" spans="1:10" ht="48" customHeight="1" x14ac:dyDescent="0.2">
      <c r="A220" s="16" t="s">
        <v>761</v>
      </c>
      <c r="B220" s="68"/>
      <c r="C220" s="157"/>
      <c r="D220" s="19" t="s">
        <v>61</v>
      </c>
      <c r="E220" s="19" t="s">
        <v>103</v>
      </c>
      <c r="F220" s="21">
        <f>(4390000074)/1000*$F$5</f>
        <v>4390000.074</v>
      </c>
      <c r="G220" s="21">
        <f t="shared" si="7"/>
        <v>4390000.074</v>
      </c>
      <c r="H220" s="45" t="s">
        <v>756</v>
      </c>
      <c r="I220" s="33"/>
      <c r="J220" s="1" t="s">
        <v>624</v>
      </c>
    </row>
    <row r="221" spans="1:10" ht="60" x14ac:dyDescent="0.2">
      <c r="A221" s="61" t="s">
        <v>762</v>
      </c>
      <c r="B221" s="52" t="s">
        <v>797</v>
      </c>
      <c r="C221" s="52" t="s">
        <v>637</v>
      </c>
      <c r="D221" s="11" t="s">
        <v>141</v>
      </c>
      <c r="E221" s="11" t="s">
        <v>638</v>
      </c>
      <c r="F221" s="60">
        <f>(1240980)/1000*$F$5</f>
        <v>1240.98</v>
      </c>
      <c r="G221" s="60">
        <f t="shared" si="7"/>
        <v>1240.98</v>
      </c>
      <c r="H221" s="2" t="s">
        <v>640</v>
      </c>
      <c r="I221" s="3"/>
      <c r="J221" s="1" t="s">
        <v>641</v>
      </c>
    </row>
    <row r="223" spans="1:10" x14ac:dyDescent="0.2">
      <c r="B223" s="158" t="s">
        <v>796</v>
      </c>
      <c r="C223" s="158"/>
      <c r="D223" s="158"/>
      <c r="E223" s="158"/>
      <c r="F223" s="158"/>
      <c r="G223" s="158"/>
      <c r="H223" s="158"/>
      <c r="I223" s="158"/>
    </row>
    <row r="225" spans="1:1" x14ac:dyDescent="0.2">
      <c r="A225" s="1" t="s">
        <v>806</v>
      </c>
    </row>
  </sheetData>
  <mergeCells count="38">
    <mergeCell ref="B2:I2"/>
    <mergeCell ref="B3:I3"/>
    <mergeCell ref="B4:I4"/>
    <mergeCell ref="A6:A7"/>
    <mergeCell ref="B6:B7"/>
    <mergeCell ref="C6:C7"/>
    <mergeCell ref="D6:E6"/>
    <mergeCell ref="F6:G6"/>
    <mergeCell ref="H6:H7"/>
    <mergeCell ref="I6:I7"/>
    <mergeCell ref="C115:C117"/>
    <mergeCell ref="C9:C21"/>
    <mergeCell ref="C23:C32"/>
    <mergeCell ref="C34:C53"/>
    <mergeCell ref="C54:C55"/>
    <mergeCell ref="C56:C57"/>
    <mergeCell ref="C58:C60"/>
    <mergeCell ref="C62:C68"/>
    <mergeCell ref="C84:C94"/>
    <mergeCell ref="C104:C108"/>
    <mergeCell ref="C110:C111"/>
    <mergeCell ref="C112:C114"/>
    <mergeCell ref="C119:C129"/>
    <mergeCell ref="C130:C139"/>
    <mergeCell ref="C140:C141"/>
    <mergeCell ref="C145:C149"/>
    <mergeCell ref="C151:C152"/>
    <mergeCell ref="C171:C180"/>
    <mergeCell ref="C181:C210"/>
    <mergeCell ref="C216:C220"/>
    <mergeCell ref="B223:I223"/>
    <mergeCell ref="E151:E152"/>
    <mergeCell ref="F151:F152"/>
    <mergeCell ref="G151:G152"/>
    <mergeCell ref="C154:C155"/>
    <mergeCell ref="C163:C164"/>
    <mergeCell ref="C165:C167"/>
    <mergeCell ref="D151:D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57"/>
  <sheetViews>
    <sheetView showZeros="0" view="pageBreakPreview" topLeftCell="A217" zoomScale="120" zoomScaleNormal="120" zoomScaleSheetLayoutView="120" workbookViewId="0">
      <selection activeCell="D205" sqref="D205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85546875" style="97" customWidth="1"/>
    <col min="5" max="5" width="32.5703125" style="73" customWidth="1"/>
    <col min="6" max="6" width="9.140625" style="1" customWidth="1"/>
    <col min="7" max="7" width="10.42578125" style="1" customWidth="1"/>
    <col min="8" max="8" width="12.42578125" style="1" customWidth="1"/>
    <col min="9" max="9" width="11.42578125" style="1" customWidth="1"/>
    <col min="10" max="10" width="38.28515625" style="1" customWidth="1"/>
    <col min="11" max="11" width="8.7109375" style="1" hidden="1" customWidth="1"/>
    <col min="12" max="12" width="20.42578125" style="1" customWidth="1"/>
    <col min="13" max="16384" width="9.140625" style="1"/>
  </cols>
  <sheetData>
    <row r="2" spans="1:12" x14ac:dyDescent="0.2">
      <c r="B2" s="166" t="s">
        <v>39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2" x14ac:dyDescent="0.2">
      <c r="B3" s="166" t="s">
        <v>40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1:12" x14ac:dyDescent="0.2">
      <c r="B4" s="166" t="s">
        <v>41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1:12" ht="15.6" customHeight="1" x14ac:dyDescent="0.2">
      <c r="B5" s="8"/>
      <c r="C5" s="8"/>
      <c r="D5" s="85"/>
      <c r="E5" s="71"/>
      <c r="F5" s="8"/>
      <c r="G5" s="8"/>
      <c r="H5" s="10">
        <v>1</v>
      </c>
      <c r="I5" s="8"/>
      <c r="J5" s="8"/>
      <c r="K5" s="8"/>
    </row>
    <row r="6" spans="1:12" ht="25.5" customHeight="1" x14ac:dyDescent="0.2">
      <c r="A6" s="167" t="s">
        <v>65</v>
      </c>
      <c r="B6" s="167" t="s">
        <v>0</v>
      </c>
      <c r="C6" s="169" t="s">
        <v>807</v>
      </c>
      <c r="D6" s="172" t="s">
        <v>808</v>
      </c>
      <c r="E6" s="169" t="s">
        <v>809</v>
      </c>
      <c r="F6" s="171" t="s">
        <v>1</v>
      </c>
      <c r="G6" s="171"/>
      <c r="H6" s="171" t="s">
        <v>43</v>
      </c>
      <c r="I6" s="171"/>
      <c r="J6" s="171" t="s">
        <v>44</v>
      </c>
      <c r="K6" s="171" t="s">
        <v>45</v>
      </c>
    </row>
    <row r="7" spans="1:12" ht="56.45" customHeight="1" x14ac:dyDescent="0.2">
      <c r="A7" s="168"/>
      <c r="B7" s="168"/>
      <c r="C7" s="170"/>
      <c r="D7" s="173"/>
      <c r="E7" s="170"/>
      <c r="F7" s="6" t="s">
        <v>2</v>
      </c>
      <c r="G7" s="22" t="s">
        <v>42</v>
      </c>
      <c r="H7" s="6" t="s">
        <v>3</v>
      </c>
      <c r="I7" s="6" t="s">
        <v>33</v>
      </c>
      <c r="J7" s="171"/>
      <c r="K7" s="171"/>
      <c r="L7" s="1" t="s">
        <v>346</v>
      </c>
    </row>
    <row r="8" spans="1:12" ht="11.45" customHeight="1" x14ac:dyDescent="0.2">
      <c r="A8" s="3">
        <v>1</v>
      </c>
      <c r="B8" s="3">
        <v>2</v>
      </c>
      <c r="C8" s="3">
        <v>3</v>
      </c>
      <c r="D8" s="86"/>
      <c r="E8" s="72"/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2" ht="40.5" customHeight="1" x14ac:dyDescent="0.2">
      <c r="A9" s="77" t="s">
        <v>116</v>
      </c>
      <c r="B9" s="76" t="s">
        <v>834</v>
      </c>
      <c r="C9" s="163" t="s">
        <v>117</v>
      </c>
      <c r="D9" s="87"/>
      <c r="E9" s="26"/>
      <c r="F9" s="18"/>
      <c r="G9" s="18"/>
      <c r="H9" s="20"/>
      <c r="I9" s="20"/>
      <c r="J9" s="26"/>
      <c r="K9" s="14"/>
    </row>
    <row r="10" spans="1:12" ht="60" x14ac:dyDescent="0.2">
      <c r="A10" s="16" t="s">
        <v>66</v>
      </c>
      <c r="B10" s="30" t="s">
        <v>812</v>
      </c>
      <c r="C10" s="164"/>
      <c r="D10" s="88" t="s">
        <v>810</v>
      </c>
      <c r="E10" s="30" t="s">
        <v>833</v>
      </c>
      <c r="F10" s="19" t="s">
        <v>46</v>
      </c>
      <c r="G10" s="19" t="s">
        <v>4</v>
      </c>
      <c r="H10" s="21">
        <f>(20240490)/1000*$H$5</f>
        <v>20240.490000000002</v>
      </c>
      <c r="I10" s="21">
        <f>H10-(53737)/1000*$H$5</f>
        <v>20186.753000000001</v>
      </c>
      <c r="J10" s="27" t="s">
        <v>47</v>
      </c>
      <c r="K10" s="15"/>
    </row>
    <row r="11" spans="1:12" ht="48" x14ac:dyDescent="0.2">
      <c r="A11" s="16" t="s">
        <v>67</v>
      </c>
      <c r="B11" s="30" t="s">
        <v>242</v>
      </c>
      <c r="C11" s="164"/>
      <c r="D11" s="88" t="s">
        <v>811</v>
      </c>
      <c r="E11" s="30" t="s">
        <v>242</v>
      </c>
      <c r="F11" s="19" t="s">
        <v>48</v>
      </c>
      <c r="G11" s="19" t="s">
        <v>52</v>
      </c>
      <c r="H11" s="21">
        <f>(3127000/1.18)/1000*$H$5</f>
        <v>2650</v>
      </c>
      <c r="I11" s="21">
        <f>H11-(0)/1000*$H$5</f>
        <v>2650</v>
      </c>
      <c r="J11" s="27" t="s">
        <v>647</v>
      </c>
      <c r="K11" s="15"/>
    </row>
    <row r="12" spans="1:12" ht="36" x14ac:dyDescent="0.2">
      <c r="A12" s="16" t="s">
        <v>68</v>
      </c>
      <c r="B12" s="30" t="s">
        <v>243</v>
      </c>
      <c r="C12" s="164"/>
      <c r="D12" s="88" t="s">
        <v>813</v>
      </c>
      <c r="E12" s="27" t="s">
        <v>50</v>
      </c>
      <c r="F12" s="19" t="s">
        <v>12</v>
      </c>
      <c r="G12" s="19" t="s">
        <v>49</v>
      </c>
      <c r="H12" s="21">
        <f>(11142291.6/1.18)/1000*$H$5</f>
        <v>9442.6200000000008</v>
      </c>
      <c r="I12" s="21">
        <f>H12-(7388413.6)/1000*$H$5</f>
        <v>2054.2064000000009</v>
      </c>
      <c r="J12" s="27" t="s">
        <v>50</v>
      </c>
      <c r="K12" s="15"/>
    </row>
    <row r="13" spans="1:12" ht="48" x14ac:dyDescent="0.2">
      <c r="A13" s="16" t="s">
        <v>69</v>
      </c>
      <c r="B13" s="30" t="s">
        <v>817</v>
      </c>
      <c r="C13" s="164"/>
      <c r="D13" s="88" t="s">
        <v>815</v>
      </c>
      <c r="E13" s="27" t="s">
        <v>814</v>
      </c>
      <c r="F13" s="19" t="s">
        <v>51</v>
      </c>
      <c r="G13" s="19" t="s">
        <v>52</v>
      </c>
      <c r="H13" s="21">
        <f>(3600000)/1000*$H$5</f>
        <v>3600</v>
      </c>
      <c r="I13" s="21">
        <f t="shared" ref="I13:I27" si="0">H13-(0)/1000*$H$5</f>
        <v>3600</v>
      </c>
      <c r="J13" s="27" t="s">
        <v>53</v>
      </c>
      <c r="K13" s="15"/>
    </row>
    <row r="14" spans="1:12" ht="48" x14ac:dyDescent="0.2">
      <c r="A14" s="16" t="s">
        <v>70</v>
      </c>
      <c r="B14" s="30" t="s">
        <v>816</v>
      </c>
      <c r="C14" s="164"/>
      <c r="D14" s="88" t="s">
        <v>818</v>
      </c>
      <c r="E14" s="27" t="s">
        <v>819</v>
      </c>
      <c r="F14" s="19" t="s">
        <v>54</v>
      </c>
      <c r="G14" s="19" t="s">
        <v>25</v>
      </c>
      <c r="H14" s="21">
        <f>(2765753)/1000*$H$5</f>
        <v>2765.7530000000002</v>
      </c>
      <c r="I14" s="21">
        <f>H14-(401097)/1000*$H$5</f>
        <v>2364.6559999999999</v>
      </c>
      <c r="J14" s="27" t="s">
        <v>55</v>
      </c>
      <c r="K14" s="15"/>
    </row>
    <row r="15" spans="1:12" ht="48" x14ac:dyDescent="0.2">
      <c r="A15" s="16" t="s">
        <v>71</v>
      </c>
      <c r="B15" s="30" t="s">
        <v>244</v>
      </c>
      <c r="C15" s="164"/>
      <c r="D15" s="88" t="s">
        <v>820</v>
      </c>
      <c r="E15" s="27" t="s">
        <v>814</v>
      </c>
      <c r="F15" s="19" t="s">
        <v>56</v>
      </c>
      <c r="G15" s="19" t="s">
        <v>52</v>
      </c>
      <c r="H15" s="21">
        <f>(5000000)/1000*$H$5</f>
        <v>5000</v>
      </c>
      <c r="I15" s="21">
        <f t="shared" si="0"/>
        <v>5000</v>
      </c>
      <c r="J15" s="27" t="s">
        <v>170</v>
      </c>
      <c r="K15" s="15"/>
    </row>
    <row r="16" spans="1:12" ht="54.75" customHeight="1" x14ac:dyDescent="0.2">
      <c r="A16" s="16" t="s">
        <v>72</v>
      </c>
      <c r="B16" s="30" t="s">
        <v>821</v>
      </c>
      <c r="C16" s="164"/>
      <c r="D16" s="88" t="s">
        <v>822</v>
      </c>
      <c r="E16" s="27" t="s">
        <v>819</v>
      </c>
      <c r="F16" s="19" t="s">
        <v>4</v>
      </c>
      <c r="G16" s="19" t="s">
        <v>7</v>
      </c>
      <c r="H16" s="21">
        <f>(5947000)/1000*$H$5</f>
        <v>5947</v>
      </c>
      <c r="I16" s="21">
        <f>H16-(322033.9)/1000*$H$5</f>
        <v>5624.9660999999996</v>
      </c>
      <c r="J16" s="27" t="s">
        <v>57</v>
      </c>
      <c r="K16" s="15"/>
    </row>
    <row r="17" spans="1:11" ht="67.5" customHeight="1" x14ac:dyDescent="0.2">
      <c r="A17" s="16" t="s">
        <v>73</v>
      </c>
      <c r="B17" s="30" t="s">
        <v>823</v>
      </c>
      <c r="C17" s="164"/>
      <c r="D17" s="88" t="s">
        <v>824</v>
      </c>
      <c r="E17" s="27" t="s">
        <v>59</v>
      </c>
      <c r="F17" s="19" t="s">
        <v>58</v>
      </c>
      <c r="G17" s="19" t="s">
        <v>58</v>
      </c>
      <c r="H17" s="21">
        <f>(720000)/1000*$H$5</f>
        <v>720</v>
      </c>
      <c r="I17" s="21">
        <f>H17-(128844)/1000*$H$5</f>
        <v>591.15599999999995</v>
      </c>
      <c r="J17" s="27" t="s">
        <v>59</v>
      </c>
      <c r="K17" s="15"/>
    </row>
    <row r="18" spans="1:11" ht="36" x14ac:dyDescent="0.2">
      <c r="A18" s="16" t="s">
        <v>74</v>
      </c>
      <c r="B18" s="30" t="s">
        <v>825</v>
      </c>
      <c r="C18" s="164"/>
      <c r="D18" s="88" t="s">
        <v>832</v>
      </c>
      <c r="E18" s="27" t="s">
        <v>59</v>
      </c>
      <c r="F18" s="19" t="s">
        <v>60</v>
      </c>
      <c r="G18" s="19" t="s">
        <v>60</v>
      </c>
      <c r="H18" s="21">
        <f>(700000)/1000*$H$5</f>
        <v>700</v>
      </c>
      <c r="I18" s="21">
        <f t="shared" si="0"/>
        <v>700</v>
      </c>
      <c r="J18" s="27" t="s">
        <v>59</v>
      </c>
      <c r="K18" s="15"/>
    </row>
    <row r="19" spans="1:11" ht="36" x14ac:dyDescent="0.2">
      <c r="A19" s="16" t="s">
        <v>75</v>
      </c>
      <c r="B19" s="30" t="s">
        <v>826</v>
      </c>
      <c r="C19" s="164"/>
      <c r="D19" s="88" t="s">
        <v>828</v>
      </c>
      <c r="E19" s="27" t="s">
        <v>59</v>
      </c>
      <c r="F19" s="19" t="s">
        <v>61</v>
      </c>
      <c r="G19" s="19" t="s">
        <v>61</v>
      </c>
      <c r="H19" s="21">
        <f>(720000)/1000*$H$5</f>
        <v>720</v>
      </c>
      <c r="I19" s="21">
        <f t="shared" si="0"/>
        <v>720</v>
      </c>
      <c r="J19" s="27" t="s">
        <v>59</v>
      </c>
      <c r="K19" s="15"/>
    </row>
    <row r="20" spans="1:11" ht="36" x14ac:dyDescent="0.2">
      <c r="A20" s="16" t="s">
        <v>76</v>
      </c>
      <c r="B20" s="30" t="s">
        <v>827</v>
      </c>
      <c r="C20" s="164"/>
      <c r="D20" s="88" t="s">
        <v>829</v>
      </c>
      <c r="E20" s="27" t="s">
        <v>59</v>
      </c>
      <c r="F20" s="19" t="s">
        <v>62</v>
      </c>
      <c r="G20" s="19" t="s">
        <v>62</v>
      </c>
      <c r="H20" s="21">
        <f>(730000)/1000*$H$5</f>
        <v>730</v>
      </c>
      <c r="I20" s="21">
        <f t="shared" si="0"/>
        <v>730</v>
      </c>
      <c r="J20" s="27" t="s">
        <v>59</v>
      </c>
      <c r="K20" s="15"/>
    </row>
    <row r="21" spans="1:11" ht="48" x14ac:dyDescent="0.2">
      <c r="A21" s="16" t="s">
        <v>77</v>
      </c>
      <c r="B21" s="74" t="s">
        <v>245</v>
      </c>
      <c r="C21" s="164"/>
      <c r="D21" s="88" t="s">
        <v>831</v>
      </c>
      <c r="E21" s="27" t="s">
        <v>830</v>
      </c>
      <c r="F21" s="19" t="s">
        <v>16</v>
      </c>
      <c r="G21" s="19" t="s">
        <v>63</v>
      </c>
      <c r="H21" s="21">
        <f>(170917+20177971)/1000*$H$5</f>
        <v>20348.887999999999</v>
      </c>
      <c r="I21" s="21">
        <f>H21-(2286003+6277093)/1000*$H$5</f>
        <v>11785.791999999999</v>
      </c>
      <c r="J21" s="27" t="s">
        <v>64</v>
      </c>
      <c r="K21" s="15"/>
    </row>
    <row r="22" spans="1:11" ht="140.25" customHeight="1" x14ac:dyDescent="0.2">
      <c r="A22" s="16" t="s">
        <v>80</v>
      </c>
      <c r="B22" s="74" t="s">
        <v>853</v>
      </c>
      <c r="C22" s="28" t="s">
        <v>81</v>
      </c>
      <c r="D22" s="89" t="s">
        <v>854</v>
      </c>
      <c r="E22" s="28" t="s">
        <v>79</v>
      </c>
      <c r="F22" s="19" t="s">
        <v>78</v>
      </c>
      <c r="G22" s="19" t="s">
        <v>7</v>
      </c>
      <c r="H22" s="21">
        <f>(3293513)/1000*$H$5</f>
        <v>3293.5129999999999</v>
      </c>
      <c r="I22" s="21">
        <f t="shared" si="0"/>
        <v>3293.5129999999999</v>
      </c>
      <c r="J22" s="27" t="s">
        <v>79</v>
      </c>
      <c r="K22" s="15"/>
    </row>
    <row r="23" spans="1:11" ht="60" x14ac:dyDescent="0.2">
      <c r="A23" s="16" t="s">
        <v>82</v>
      </c>
      <c r="B23" s="30" t="s">
        <v>247</v>
      </c>
      <c r="C23" s="153" t="s">
        <v>83</v>
      </c>
      <c r="D23" s="89" t="s">
        <v>855</v>
      </c>
      <c r="E23" s="27" t="s">
        <v>85</v>
      </c>
      <c r="F23" s="19" t="s">
        <v>84</v>
      </c>
      <c r="G23" s="19" t="s">
        <v>7</v>
      </c>
      <c r="H23" s="21">
        <f>(15724959.7)/1000*$H$5</f>
        <v>15724.959699999999</v>
      </c>
      <c r="I23" s="21">
        <f t="shared" si="0"/>
        <v>15724.959699999999</v>
      </c>
      <c r="J23" s="27" t="s">
        <v>85</v>
      </c>
      <c r="K23" s="15"/>
    </row>
    <row r="24" spans="1:11" ht="96" x14ac:dyDescent="0.2">
      <c r="A24" s="16" t="s">
        <v>87</v>
      </c>
      <c r="B24" s="30" t="s">
        <v>247</v>
      </c>
      <c r="C24" s="153"/>
      <c r="D24" s="89" t="s">
        <v>856</v>
      </c>
      <c r="E24" s="27" t="s">
        <v>860</v>
      </c>
      <c r="F24" s="19" t="s">
        <v>86</v>
      </c>
      <c r="G24" s="19" t="s">
        <v>22</v>
      </c>
      <c r="H24" s="21">
        <f>(13589383)/1000*$H$5</f>
        <v>13589.383</v>
      </c>
      <c r="I24" s="21">
        <f t="shared" si="0"/>
        <v>13589.383</v>
      </c>
      <c r="J24" s="27" t="s">
        <v>109</v>
      </c>
      <c r="K24" s="15"/>
    </row>
    <row r="25" spans="1:11" ht="72" x14ac:dyDescent="0.2">
      <c r="A25" s="16" t="s">
        <v>88</v>
      </c>
      <c r="B25" s="30" t="s">
        <v>118</v>
      </c>
      <c r="C25" s="153"/>
      <c r="D25" s="89" t="s">
        <v>857</v>
      </c>
      <c r="E25" s="27" t="s">
        <v>861</v>
      </c>
      <c r="F25" s="19" t="s">
        <v>91</v>
      </c>
      <c r="G25" s="24" t="s">
        <v>873</v>
      </c>
      <c r="H25" s="21">
        <f>(9015373)/1000*$H$5</f>
        <v>9015.3729999999996</v>
      </c>
      <c r="I25" s="21">
        <f t="shared" si="0"/>
        <v>9015.3729999999996</v>
      </c>
      <c r="J25" s="27" t="s">
        <v>110</v>
      </c>
      <c r="K25" s="15"/>
    </row>
    <row r="26" spans="1:11" ht="48" x14ac:dyDescent="0.2">
      <c r="A26" s="16" t="s">
        <v>89</v>
      </c>
      <c r="B26" s="30" t="s">
        <v>247</v>
      </c>
      <c r="C26" s="153"/>
      <c r="D26" s="89" t="s">
        <v>859</v>
      </c>
      <c r="E26" s="27" t="s">
        <v>858</v>
      </c>
      <c r="F26" s="19" t="s">
        <v>93</v>
      </c>
      <c r="G26" s="24" t="s">
        <v>872</v>
      </c>
      <c r="H26" s="21">
        <f>(21058242)/1000*$H$5</f>
        <v>21058.241999999998</v>
      </c>
      <c r="I26" s="21">
        <f t="shared" si="0"/>
        <v>21058.241999999998</v>
      </c>
      <c r="J26" s="27" t="s">
        <v>108</v>
      </c>
      <c r="K26" s="15"/>
    </row>
    <row r="27" spans="1:11" ht="60" x14ac:dyDescent="0.2">
      <c r="A27" s="16" t="s">
        <v>90</v>
      </c>
      <c r="B27" s="30" t="s">
        <v>247</v>
      </c>
      <c r="C27" s="153"/>
      <c r="D27" s="89" t="s">
        <v>864</v>
      </c>
      <c r="E27" s="27" t="s">
        <v>862</v>
      </c>
      <c r="F27" s="19" t="s">
        <v>60</v>
      </c>
      <c r="G27" s="19" t="s">
        <v>95</v>
      </c>
      <c r="H27" s="21">
        <f>(2279276)/1000*$H$5</f>
        <v>2279.2759999999998</v>
      </c>
      <c r="I27" s="21">
        <f t="shared" si="0"/>
        <v>2279.2759999999998</v>
      </c>
      <c r="J27" s="27" t="s">
        <v>111</v>
      </c>
      <c r="K27" s="15"/>
    </row>
    <row r="28" spans="1:11" ht="60" x14ac:dyDescent="0.2">
      <c r="A28" s="16" t="s">
        <v>96</v>
      </c>
      <c r="B28" s="30" t="s">
        <v>247</v>
      </c>
      <c r="C28" s="153"/>
      <c r="D28" s="89" t="s">
        <v>863</v>
      </c>
      <c r="E28" s="27" t="s">
        <v>865</v>
      </c>
      <c r="F28" s="19" t="s">
        <v>95</v>
      </c>
      <c r="G28" s="19" t="s">
        <v>9</v>
      </c>
      <c r="H28" s="21">
        <f>(1136955)/1000*$H$5</f>
        <v>1136.9549999999999</v>
      </c>
      <c r="I28" s="21">
        <f t="shared" ref="I28:I37" si="1">H28-(0)/1000*$H$5</f>
        <v>1136.9549999999999</v>
      </c>
      <c r="J28" s="27" t="s">
        <v>112</v>
      </c>
      <c r="K28" s="15"/>
    </row>
    <row r="29" spans="1:11" ht="84" customHeight="1" x14ac:dyDescent="0.2">
      <c r="A29" s="16" t="s">
        <v>97</v>
      </c>
      <c r="B29" s="30" t="s">
        <v>247</v>
      </c>
      <c r="C29" s="153"/>
      <c r="D29" s="89" t="s">
        <v>866</v>
      </c>
      <c r="E29" s="27" t="s">
        <v>867</v>
      </c>
      <c r="F29" s="19" t="s">
        <v>101</v>
      </c>
      <c r="G29" s="24" t="s">
        <v>638</v>
      </c>
      <c r="H29" s="21">
        <f>(8510364)/1000*$H$5</f>
        <v>8510.3639999999996</v>
      </c>
      <c r="I29" s="21">
        <f t="shared" si="1"/>
        <v>8510.3639999999996</v>
      </c>
      <c r="J29" s="27" t="s">
        <v>113</v>
      </c>
      <c r="K29" s="15"/>
    </row>
    <row r="30" spans="1:11" ht="41.25" customHeight="1" x14ac:dyDescent="0.2">
      <c r="A30" s="16" t="s">
        <v>98</v>
      </c>
      <c r="B30" s="30" t="s">
        <v>247</v>
      </c>
      <c r="C30" s="153"/>
      <c r="D30" s="89" t="s">
        <v>868</v>
      </c>
      <c r="E30" s="27" t="s">
        <v>869</v>
      </c>
      <c r="F30" s="19" t="s">
        <v>103</v>
      </c>
      <c r="G30" s="19" t="s">
        <v>104</v>
      </c>
      <c r="H30" s="21">
        <f>(2290335)/1000*$H$5</f>
        <v>2290.335</v>
      </c>
      <c r="I30" s="21">
        <f t="shared" si="1"/>
        <v>2290.335</v>
      </c>
      <c r="J30" s="27" t="s">
        <v>105</v>
      </c>
      <c r="K30" s="15"/>
    </row>
    <row r="31" spans="1:11" ht="96" x14ac:dyDescent="0.2">
      <c r="A31" s="16" t="s">
        <v>99</v>
      </c>
      <c r="B31" s="30" t="s">
        <v>247</v>
      </c>
      <c r="C31" s="153"/>
      <c r="D31" s="89" t="s">
        <v>871</v>
      </c>
      <c r="E31" s="27" t="s">
        <v>870</v>
      </c>
      <c r="F31" s="19" t="s">
        <v>104</v>
      </c>
      <c r="G31" s="24" t="s">
        <v>874</v>
      </c>
      <c r="H31" s="21">
        <f>(7629477)/1000*$H$5</f>
        <v>7629.4769999999999</v>
      </c>
      <c r="I31" s="21">
        <f t="shared" si="1"/>
        <v>7629.4769999999999</v>
      </c>
      <c r="J31" s="27" t="s">
        <v>114</v>
      </c>
      <c r="K31" s="15"/>
    </row>
    <row r="32" spans="1:11" ht="60" x14ac:dyDescent="0.2">
      <c r="A32" s="16" t="s">
        <v>100</v>
      </c>
      <c r="B32" s="30" t="s">
        <v>247</v>
      </c>
      <c r="C32" s="153"/>
      <c r="D32" s="89" t="s">
        <v>877</v>
      </c>
      <c r="E32" s="27" t="s">
        <v>876</v>
      </c>
      <c r="F32" s="19" t="s">
        <v>16</v>
      </c>
      <c r="G32" s="19" t="s">
        <v>107</v>
      </c>
      <c r="H32" s="21">
        <f>(1831211)/1000*$H$5</f>
        <v>1831.211</v>
      </c>
      <c r="I32" s="21">
        <f t="shared" si="1"/>
        <v>1831.211</v>
      </c>
      <c r="J32" s="27" t="s">
        <v>875</v>
      </c>
      <c r="K32" s="15"/>
    </row>
    <row r="33" spans="1:11" ht="156" x14ac:dyDescent="0.2">
      <c r="A33" s="17" t="s">
        <v>149</v>
      </c>
      <c r="B33" s="32" t="s">
        <v>146</v>
      </c>
      <c r="C33" s="29" t="s">
        <v>648</v>
      </c>
      <c r="D33" s="90" t="s">
        <v>879</v>
      </c>
      <c r="E33" s="29" t="s">
        <v>878</v>
      </c>
      <c r="F33" s="12" t="s">
        <v>124</v>
      </c>
      <c r="G33" s="12" t="s">
        <v>56</v>
      </c>
      <c r="H33" s="13">
        <f>(407667.34/1.18)/1000*$H$5</f>
        <v>345.48079661016953</v>
      </c>
      <c r="I33" s="13">
        <f>H33</f>
        <v>345.48079661016953</v>
      </c>
      <c r="J33" s="23" t="s">
        <v>125</v>
      </c>
      <c r="K33" s="31"/>
    </row>
    <row r="34" spans="1:11" ht="50.25" customHeight="1" x14ac:dyDescent="0.2">
      <c r="A34" s="75" t="s">
        <v>148</v>
      </c>
      <c r="B34" s="76" t="s">
        <v>249</v>
      </c>
      <c r="C34" s="152" t="s">
        <v>147</v>
      </c>
      <c r="D34" s="91"/>
      <c r="E34" s="64"/>
      <c r="F34" s="18"/>
      <c r="G34" s="18"/>
      <c r="H34" s="20">
        <f>(0)/1000*$H$5</f>
        <v>0</v>
      </c>
      <c r="I34" s="20">
        <f t="shared" si="1"/>
        <v>0</v>
      </c>
      <c r="J34" s="26"/>
      <c r="K34" s="34"/>
    </row>
    <row r="35" spans="1:11" ht="64.5" customHeight="1" x14ac:dyDescent="0.2">
      <c r="A35" s="16" t="s">
        <v>122</v>
      </c>
      <c r="B35" s="78" t="s">
        <v>248</v>
      </c>
      <c r="C35" s="153"/>
      <c r="D35" s="89" t="s">
        <v>880</v>
      </c>
      <c r="E35" s="28" t="s">
        <v>128</v>
      </c>
      <c r="F35" s="19" t="s">
        <v>119</v>
      </c>
      <c r="G35" s="19" t="s">
        <v>119</v>
      </c>
      <c r="H35" s="21">
        <f>(448400/1.18)/1000*$H$5</f>
        <v>380</v>
      </c>
      <c r="I35" s="21">
        <f t="shared" si="1"/>
        <v>380</v>
      </c>
      <c r="J35" s="27" t="s">
        <v>120</v>
      </c>
      <c r="K35" s="33"/>
    </row>
    <row r="36" spans="1:11" ht="57.75" customHeight="1" x14ac:dyDescent="0.2">
      <c r="A36" s="16" t="s">
        <v>123</v>
      </c>
      <c r="B36" s="30" t="s">
        <v>881</v>
      </c>
      <c r="C36" s="153"/>
      <c r="D36" s="89" t="s">
        <v>882</v>
      </c>
      <c r="E36" s="27" t="s">
        <v>171</v>
      </c>
      <c r="F36" s="19" t="s">
        <v>13</v>
      </c>
      <c r="G36" s="19" t="s">
        <v>8</v>
      </c>
      <c r="H36" s="21">
        <f>(2300000)/1000*$H$5</f>
        <v>2300</v>
      </c>
      <c r="I36" s="21">
        <f t="shared" si="1"/>
        <v>2300</v>
      </c>
      <c r="J36" s="27" t="s">
        <v>171</v>
      </c>
      <c r="K36" s="33"/>
    </row>
    <row r="37" spans="1:11" ht="66.75" customHeight="1" x14ac:dyDescent="0.2">
      <c r="A37" s="16" t="s">
        <v>150</v>
      </c>
      <c r="B37" s="30" t="s">
        <v>251</v>
      </c>
      <c r="C37" s="153"/>
      <c r="D37" s="89" t="s">
        <v>883</v>
      </c>
      <c r="E37" s="27" t="s">
        <v>884</v>
      </c>
      <c r="F37" s="19" t="s">
        <v>126</v>
      </c>
      <c r="G37" s="19" t="s">
        <v>127</v>
      </c>
      <c r="H37" s="21">
        <f>(650000)/1000*$H$5</f>
        <v>650</v>
      </c>
      <c r="I37" s="21">
        <f t="shared" si="1"/>
        <v>650</v>
      </c>
      <c r="J37" s="27" t="s">
        <v>121</v>
      </c>
      <c r="K37" s="33"/>
    </row>
    <row r="38" spans="1:11" ht="69" customHeight="1" x14ac:dyDescent="0.2">
      <c r="A38" s="16" t="s">
        <v>151</v>
      </c>
      <c r="B38" s="30" t="s">
        <v>252</v>
      </c>
      <c r="C38" s="153"/>
      <c r="D38" s="89" t="s">
        <v>885</v>
      </c>
      <c r="E38" s="27" t="s">
        <v>884</v>
      </c>
      <c r="F38" s="19" t="s">
        <v>51</v>
      </c>
      <c r="G38" s="19" t="s">
        <v>56</v>
      </c>
      <c r="H38" s="21">
        <f>(2300000)/1000*$H$5</f>
        <v>2300</v>
      </c>
      <c r="I38" s="21">
        <f>H38-(61506)/1000*$H$5</f>
        <v>2238.4940000000001</v>
      </c>
      <c r="J38" s="27" t="s">
        <v>121</v>
      </c>
      <c r="K38" s="33"/>
    </row>
    <row r="39" spans="1:11" ht="69" customHeight="1" x14ac:dyDescent="0.2">
      <c r="A39" s="16" t="s">
        <v>152</v>
      </c>
      <c r="B39" s="30" t="s">
        <v>253</v>
      </c>
      <c r="C39" s="153"/>
      <c r="D39" s="89" t="s">
        <v>886</v>
      </c>
      <c r="E39" s="27" t="s">
        <v>884</v>
      </c>
      <c r="F39" s="19" t="s">
        <v>51</v>
      </c>
      <c r="G39" s="19" t="s">
        <v>124</v>
      </c>
      <c r="H39" s="21">
        <f>(2300000)/1000*$H$5</f>
        <v>2300</v>
      </c>
      <c r="I39" s="21">
        <f>H39-(0)/1000*$H$5</f>
        <v>2300</v>
      </c>
      <c r="J39" s="27" t="s">
        <v>172</v>
      </c>
      <c r="K39" s="33"/>
    </row>
    <row r="40" spans="1:11" ht="60" x14ac:dyDescent="0.2">
      <c r="A40" s="16" t="s">
        <v>153</v>
      </c>
      <c r="B40" s="78" t="s">
        <v>890</v>
      </c>
      <c r="C40" s="153"/>
      <c r="D40" s="89" t="s">
        <v>887</v>
      </c>
      <c r="E40" s="27" t="s">
        <v>128</v>
      </c>
      <c r="F40" s="19" t="s">
        <v>124</v>
      </c>
      <c r="G40" s="19" t="s">
        <v>129</v>
      </c>
      <c r="H40" s="21">
        <f>(1416000/1.18)/1000*$H$5</f>
        <v>1200</v>
      </c>
      <c r="I40" s="21">
        <f>H40-(0)/1000*$H$5</f>
        <v>1200</v>
      </c>
      <c r="J40" s="27" t="s">
        <v>128</v>
      </c>
      <c r="K40" s="33"/>
    </row>
    <row r="41" spans="1:11" ht="78" customHeight="1" x14ac:dyDescent="0.2">
      <c r="A41" s="16" t="s">
        <v>154</v>
      </c>
      <c r="B41" s="30" t="s">
        <v>254</v>
      </c>
      <c r="C41" s="153"/>
      <c r="D41" s="89" t="s">
        <v>888</v>
      </c>
      <c r="E41" s="27" t="s">
        <v>130</v>
      </c>
      <c r="F41" s="19" t="s">
        <v>49</v>
      </c>
      <c r="G41" s="19" t="s">
        <v>25</v>
      </c>
      <c r="H41" s="21">
        <f>(4600000)/1000*$H$5</f>
        <v>4600</v>
      </c>
      <c r="I41" s="21">
        <f>H41-(32790)/1000*$H$5</f>
        <v>4567.21</v>
      </c>
      <c r="J41" s="27" t="s">
        <v>130</v>
      </c>
      <c r="K41" s="33"/>
    </row>
    <row r="42" spans="1:11" ht="40.5" customHeight="1" x14ac:dyDescent="0.2">
      <c r="A42" s="16" t="s">
        <v>155</v>
      </c>
      <c r="B42" s="30" t="s">
        <v>255</v>
      </c>
      <c r="C42" s="153"/>
      <c r="D42" s="89" t="s">
        <v>889</v>
      </c>
      <c r="E42" s="27" t="s">
        <v>131</v>
      </c>
      <c r="F42" s="19" t="s">
        <v>56</v>
      </c>
      <c r="G42" s="19" t="s">
        <v>7</v>
      </c>
      <c r="H42" s="21">
        <f>(1896068)/1000*$H$5</f>
        <v>1896.068</v>
      </c>
      <c r="I42" s="21">
        <f>H42-(510000)/1000*$H$5</f>
        <v>1386.068</v>
      </c>
      <c r="J42" s="27" t="s">
        <v>131</v>
      </c>
      <c r="K42" s="33"/>
    </row>
    <row r="43" spans="1:11" ht="66" customHeight="1" x14ac:dyDescent="0.2">
      <c r="A43" s="16" t="s">
        <v>156</v>
      </c>
      <c r="B43" s="78" t="s">
        <v>892</v>
      </c>
      <c r="C43" s="153"/>
      <c r="D43" s="89" t="s">
        <v>894</v>
      </c>
      <c r="E43" s="27" t="s">
        <v>128</v>
      </c>
      <c r="F43" s="19" t="s">
        <v>132</v>
      </c>
      <c r="G43" s="19" t="s">
        <v>14</v>
      </c>
      <c r="H43" s="21">
        <f>(1420000)/1000*$H$5</f>
        <v>1420</v>
      </c>
      <c r="I43" s="21">
        <f>H43-(0)/1000*$H$5</f>
        <v>1420</v>
      </c>
      <c r="J43" s="27" t="s">
        <v>128</v>
      </c>
      <c r="K43" s="33"/>
    </row>
    <row r="44" spans="1:11" ht="48" x14ac:dyDescent="0.2">
      <c r="A44" s="16" t="s">
        <v>157</v>
      </c>
      <c r="B44" s="30" t="s">
        <v>895</v>
      </c>
      <c r="C44" s="153"/>
      <c r="D44" s="89" t="s">
        <v>896</v>
      </c>
      <c r="E44" s="27" t="s">
        <v>133</v>
      </c>
      <c r="F44" s="19" t="s">
        <v>4</v>
      </c>
      <c r="G44" s="24" t="s">
        <v>649</v>
      </c>
      <c r="H44" s="21">
        <f>(42143938)/1000*$H$5</f>
        <v>42143.938000000002</v>
      </c>
      <c r="I44" s="21">
        <f>H44-(27790161.6)/1000*$H$5</f>
        <v>14353.776399999999</v>
      </c>
      <c r="J44" s="27" t="s">
        <v>133</v>
      </c>
      <c r="K44" s="33"/>
    </row>
    <row r="45" spans="1:11" ht="60" x14ac:dyDescent="0.2">
      <c r="A45" s="16" t="s">
        <v>158</v>
      </c>
      <c r="B45" s="30" t="s">
        <v>256</v>
      </c>
      <c r="C45" s="153"/>
      <c r="D45" s="89" t="s">
        <v>897</v>
      </c>
      <c r="E45" s="27" t="s">
        <v>134</v>
      </c>
      <c r="F45" s="19" t="s">
        <v>4</v>
      </c>
      <c r="G45" s="19" t="s">
        <v>86</v>
      </c>
      <c r="H45" s="21">
        <f>(5583000)/1000*$H$5</f>
        <v>5583</v>
      </c>
      <c r="I45" s="21">
        <f>H45-(901966)/1000*$H$5</f>
        <v>4681.0339999999997</v>
      </c>
      <c r="J45" s="27" t="s">
        <v>134</v>
      </c>
      <c r="K45" s="33"/>
    </row>
    <row r="46" spans="1:11" ht="48" x14ac:dyDescent="0.2">
      <c r="A46" s="16" t="s">
        <v>159</v>
      </c>
      <c r="B46" s="30" t="s">
        <v>257</v>
      </c>
      <c r="C46" s="153"/>
      <c r="D46" s="89" t="s">
        <v>898</v>
      </c>
      <c r="E46" s="27" t="s">
        <v>135</v>
      </c>
      <c r="F46" s="19" t="s">
        <v>14</v>
      </c>
      <c r="G46" s="19" t="s">
        <v>7</v>
      </c>
      <c r="H46" s="21">
        <f>(7800000)/1000*$H$5</f>
        <v>7800</v>
      </c>
      <c r="I46" s="21">
        <f>H46-(886884)/1000*$H$5</f>
        <v>6913.116</v>
      </c>
      <c r="J46" s="27" t="s">
        <v>135</v>
      </c>
      <c r="K46" s="33"/>
    </row>
    <row r="47" spans="1:11" ht="39.75" customHeight="1" x14ac:dyDescent="0.2">
      <c r="A47" s="16" t="s">
        <v>160</v>
      </c>
      <c r="B47" s="30" t="s">
        <v>258</v>
      </c>
      <c r="C47" s="153"/>
      <c r="D47" s="89" t="s">
        <v>899</v>
      </c>
      <c r="E47" s="27" t="s">
        <v>136</v>
      </c>
      <c r="F47" s="19" t="s">
        <v>58</v>
      </c>
      <c r="G47" s="19" t="s">
        <v>9</v>
      </c>
      <c r="H47" s="21">
        <f>(5200000)/1000*$H$5</f>
        <v>5200</v>
      </c>
      <c r="I47" s="21">
        <f>H47-(0)/1000*$H$5</f>
        <v>5200</v>
      </c>
      <c r="J47" s="27" t="s">
        <v>136</v>
      </c>
      <c r="K47" s="33"/>
    </row>
    <row r="48" spans="1:11" ht="40.5" customHeight="1" x14ac:dyDescent="0.2">
      <c r="A48" s="16" t="s">
        <v>161</v>
      </c>
      <c r="B48" s="78" t="s">
        <v>259</v>
      </c>
      <c r="C48" s="153"/>
      <c r="D48" s="89" t="s">
        <v>900</v>
      </c>
      <c r="E48" s="27" t="s">
        <v>128</v>
      </c>
      <c r="F48" s="19" t="s">
        <v>93</v>
      </c>
      <c r="G48" s="19" t="s">
        <v>137</v>
      </c>
      <c r="H48" s="21">
        <f>(700000)/1000*$H$5</f>
        <v>700</v>
      </c>
      <c r="I48" s="21">
        <f>H48-(370000)/1000*$H$5</f>
        <v>330</v>
      </c>
      <c r="J48" s="27" t="s">
        <v>128</v>
      </c>
      <c r="K48" s="33"/>
    </row>
    <row r="49" spans="1:12" ht="60" x14ac:dyDescent="0.2">
      <c r="A49" s="16" t="s">
        <v>162</v>
      </c>
      <c r="B49" s="78" t="s">
        <v>260</v>
      </c>
      <c r="C49" s="153"/>
      <c r="D49" s="89" t="s">
        <v>901</v>
      </c>
      <c r="E49" s="27" t="s">
        <v>128</v>
      </c>
      <c r="F49" s="19" t="s">
        <v>137</v>
      </c>
      <c r="G49" s="19" t="s">
        <v>95</v>
      </c>
      <c r="H49" s="21">
        <f>(1050000)/1000*$H$5</f>
        <v>1050</v>
      </c>
      <c r="I49" s="21">
        <f t="shared" ref="I49:I57" si="2">H49-(0)/1000*$H$5</f>
        <v>1050</v>
      </c>
      <c r="J49" s="27" t="s">
        <v>128</v>
      </c>
      <c r="K49" s="33"/>
    </row>
    <row r="50" spans="1:12" ht="45" customHeight="1" x14ac:dyDescent="0.2">
      <c r="A50" s="16" t="s">
        <v>163</v>
      </c>
      <c r="B50" s="30" t="s">
        <v>902</v>
      </c>
      <c r="C50" s="153"/>
      <c r="D50" s="89" t="s">
        <v>903</v>
      </c>
      <c r="E50" s="28" t="s">
        <v>904</v>
      </c>
      <c r="F50" s="19" t="s">
        <v>91</v>
      </c>
      <c r="G50" s="19" t="s">
        <v>95</v>
      </c>
      <c r="H50" s="21">
        <f>(3066113)/1000*$H$5</f>
        <v>3066.1129999999998</v>
      </c>
      <c r="I50" s="21">
        <f t="shared" si="2"/>
        <v>3066.1129999999998</v>
      </c>
      <c r="J50" s="27" t="s">
        <v>138</v>
      </c>
      <c r="K50" s="33"/>
    </row>
    <row r="51" spans="1:12" ht="50.25" customHeight="1" x14ac:dyDescent="0.2">
      <c r="A51" s="16" t="s">
        <v>164</v>
      </c>
      <c r="B51" s="30" t="s">
        <v>905</v>
      </c>
      <c r="C51" s="153"/>
      <c r="D51" s="89" t="s">
        <v>906</v>
      </c>
      <c r="E51" s="28" t="s">
        <v>144</v>
      </c>
      <c r="F51" s="19" t="s">
        <v>60</v>
      </c>
      <c r="G51" s="19" t="s">
        <v>139</v>
      </c>
      <c r="H51" s="21">
        <f>(5238644)/1000*$H$5</f>
        <v>5238.6440000000002</v>
      </c>
      <c r="I51" s="21">
        <f t="shared" si="2"/>
        <v>5238.6440000000002</v>
      </c>
      <c r="J51" s="27" t="s">
        <v>140</v>
      </c>
      <c r="K51" s="33"/>
    </row>
    <row r="52" spans="1:12" ht="50.25" customHeight="1" x14ac:dyDescent="0.2">
      <c r="A52" s="16" t="s">
        <v>165</v>
      </c>
      <c r="B52" s="30" t="s">
        <v>907</v>
      </c>
      <c r="C52" s="153"/>
      <c r="D52" s="89" t="s">
        <v>908</v>
      </c>
      <c r="E52" s="28" t="s">
        <v>144</v>
      </c>
      <c r="F52" s="19" t="s">
        <v>95</v>
      </c>
      <c r="G52" s="19" t="s">
        <v>9</v>
      </c>
      <c r="H52" s="21">
        <f>(2995000)/1000*$H$5</f>
        <v>2995</v>
      </c>
      <c r="I52" s="21">
        <f t="shared" si="2"/>
        <v>2995</v>
      </c>
      <c r="J52" s="27" t="s">
        <v>140</v>
      </c>
      <c r="K52" s="33"/>
    </row>
    <row r="53" spans="1:12" ht="40.5" customHeight="1" x14ac:dyDescent="0.2">
      <c r="A53" s="16" t="s">
        <v>166</v>
      </c>
      <c r="B53" s="30" t="s">
        <v>263</v>
      </c>
      <c r="C53" s="153"/>
      <c r="D53" s="89" t="s">
        <v>909</v>
      </c>
      <c r="E53" s="27" t="s">
        <v>143</v>
      </c>
      <c r="F53" s="19" t="s">
        <v>141</v>
      </c>
      <c r="G53" s="24" t="s">
        <v>910</v>
      </c>
      <c r="H53" s="21">
        <f>(4930000)/1000*$H$5</f>
        <v>4930</v>
      </c>
      <c r="I53" s="21">
        <f t="shared" si="2"/>
        <v>4930</v>
      </c>
      <c r="J53" s="27" t="s">
        <v>143</v>
      </c>
      <c r="K53" s="33"/>
    </row>
    <row r="54" spans="1:12" ht="72.75" customHeight="1" x14ac:dyDescent="0.2">
      <c r="A54" s="16" t="s">
        <v>167</v>
      </c>
      <c r="B54" s="30" t="s">
        <v>264</v>
      </c>
      <c r="C54" s="153" t="s">
        <v>763</v>
      </c>
      <c r="D54" s="89" t="s">
        <v>914</v>
      </c>
      <c r="E54" s="27" t="s">
        <v>144</v>
      </c>
      <c r="F54" s="19" t="s">
        <v>86</v>
      </c>
      <c r="G54" s="19" t="s">
        <v>95</v>
      </c>
      <c r="H54" s="21">
        <f>(3048480)/1000*$H$5</f>
        <v>3048.48</v>
      </c>
      <c r="I54" s="21">
        <f t="shared" si="2"/>
        <v>3048.48</v>
      </c>
      <c r="J54" s="27" t="s">
        <v>144</v>
      </c>
      <c r="K54" s="33"/>
    </row>
    <row r="55" spans="1:12" ht="93.75" customHeight="1" x14ac:dyDescent="0.2">
      <c r="A55" s="16" t="s">
        <v>168</v>
      </c>
      <c r="B55" s="30" t="s">
        <v>265</v>
      </c>
      <c r="C55" s="153"/>
      <c r="D55" s="89" t="s">
        <v>916</v>
      </c>
      <c r="E55" s="27" t="s">
        <v>143</v>
      </c>
      <c r="F55" s="19" t="s">
        <v>103</v>
      </c>
      <c r="G55" s="24" t="s">
        <v>915</v>
      </c>
      <c r="H55" s="21">
        <f>(3942141)/1000*$H$5</f>
        <v>3942.1410000000001</v>
      </c>
      <c r="I55" s="21">
        <f t="shared" si="2"/>
        <v>3942.1410000000001</v>
      </c>
      <c r="J55" s="27" t="s">
        <v>143</v>
      </c>
      <c r="K55" s="33"/>
    </row>
    <row r="56" spans="1:12" ht="77.25" customHeight="1" x14ac:dyDescent="0.2">
      <c r="A56" s="16" t="s">
        <v>297</v>
      </c>
      <c r="B56" s="30" t="s">
        <v>296</v>
      </c>
      <c r="C56" s="153" t="s">
        <v>650</v>
      </c>
      <c r="D56" s="89" t="s">
        <v>911</v>
      </c>
      <c r="E56" s="27" t="s">
        <v>144</v>
      </c>
      <c r="F56" s="19" t="s">
        <v>13</v>
      </c>
      <c r="G56" s="24" t="s">
        <v>48</v>
      </c>
      <c r="H56" s="21">
        <f>(1397275.21)/1000*$H$5</f>
        <v>1397.27521</v>
      </c>
      <c r="I56" s="21">
        <f t="shared" si="2"/>
        <v>1397.27521</v>
      </c>
      <c r="J56" s="27" t="s">
        <v>144</v>
      </c>
      <c r="K56" s="33"/>
    </row>
    <row r="57" spans="1:12" ht="90" customHeight="1" x14ac:dyDescent="0.2">
      <c r="A57" s="16" t="s">
        <v>306</v>
      </c>
      <c r="B57" s="30" t="s">
        <v>913</v>
      </c>
      <c r="C57" s="154"/>
      <c r="D57" s="89" t="s">
        <v>912</v>
      </c>
      <c r="E57" s="27" t="s">
        <v>144</v>
      </c>
      <c r="F57" s="19" t="s">
        <v>78</v>
      </c>
      <c r="G57" s="24" t="s">
        <v>52</v>
      </c>
      <c r="H57" s="21">
        <f>(1460000)/1000*$H$5</f>
        <v>1460</v>
      </c>
      <c r="I57" s="21">
        <f t="shared" si="2"/>
        <v>1460</v>
      </c>
      <c r="J57" s="27" t="s">
        <v>144</v>
      </c>
      <c r="K57" s="33"/>
    </row>
    <row r="58" spans="1:12" ht="48.75" customHeight="1" x14ac:dyDescent="0.2">
      <c r="A58" s="79" t="s">
        <v>186</v>
      </c>
      <c r="B58" s="76" t="s">
        <v>799</v>
      </c>
      <c r="C58" s="152" t="s">
        <v>333</v>
      </c>
      <c r="D58" s="91"/>
      <c r="E58" s="64"/>
      <c r="F58" s="18"/>
      <c r="G58" s="39"/>
      <c r="H58" s="20"/>
      <c r="I58" s="20"/>
      <c r="J58" s="26"/>
      <c r="K58" s="34"/>
    </row>
    <row r="59" spans="1:12" ht="80.25" customHeight="1" x14ac:dyDescent="0.2">
      <c r="A59" s="16" t="s">
        <v>173</v>
      </c>
      <c r="B59" s="30" t="s">
        <v>919</v>
      </c>
      <c r="C59" s="153"/>
      <c r="D59" s="89" t="s">
        <v>918</v>
      </c>
      <c r="E59" s="27" t="s">
        <v>184</v>
      </c>
      <c r="F59" s="19" t="s">
        <v>25</v>
      </c>
      <c r="G59" s="24" t="s">
        <v>86</v>
      </c>
      <c r="H59" s="21">
        <f>(5990000)/1000*$H$5</f>
        <v>5990</v>
      </c>
      <c r="I59" s="21">
        <f>H59-(2790000)/1000*$H$5</f>
        <v>3200</v>
      </c>
      <c r="J59" s="27" t="s">
        <v>184</v>
      </c>
      <c r="K59" s="33"/>
    </row>
    <row r="60" spans="1:12" ht="72" x14ac:dyDescent="0.2">
      <c r="A60" s="16" t="s">
        <v>187</v>
      </c>
      <c r="B60" s="30" t="s">
        <v>921</v>
      </c>
      <c r="C60" s="153"/>
      <c r="D60" s="89" t="s">
        <v>920</v>
      </c>
      <c r="E60" s="27" t="s">
        <v>185</v>
      </c>
      <c r="F60" s="24" t="s">
        <v>86</v>
      </c>
      <c r="G60" s="24" t="s">
        <v>139</v>
      </c>
      <c r="H60" s="21">
        <f>(6100000)/1000*$H$5</f>
        <v>6100</v>
      </c>
      <c r="I60" s="21">
        <f>H60-(2790)/1000*$H$5</f>
        <v>6097.21</v>
      </c>
      <c r="J60" s="27" t="s">
        <v>185</v>
      </c>
      <c r="K60" s="33"/>
    </row>
    <row r="61" spans="1:12" ht="165.75" customHeight="1" x14ac:dyDescent="0.2">
      <c r="A61" s="17" t="s">
        <v>188</v>
      </c>
      <c r="B61" s="36" t="s">
        <v>922</v>
      </c>
      <c r="C61" s="29" t="s">
        <v>651</v>
      </c>
      <c r="D61" s="90" t="s">
        <v>923</v>
      </c>
      <c r="E61" s="27" t="s">
        <v>185</v>
      </c>
      <c r="F61" s="12" t="s">
        <v>46</v>
      </c>
      <c r="G61" s="44" t="s">
        <v>48</v>
      </c>
      <c r="H61" s="13">
        <f>(22567584.09)/1000*$H$5</f>
        <v>22567.58409</v>
      </c>
      <c r="I61" s="13">
        <f>H61-(1513641+2800000+165000)/1000*$H$5</f>
        <v>18088.943090000001</v>
      </c>
      <c r="J61" s="23" t="s">
        <v>189</v>
      </c>
      <c r="K61" s="31"/>
    </row>
    <row r="62" spans="1:12" ht="52.5" customHeight="1" x14ac:dyDescent="0.2">
      <c r="A62" s="79" t="s">
        <v>190</v>
      </c>
      <c r="B62" s="76" t="s">
        <v>307</v>
      </c>
      <c r="C62" s="152" t="s">
        <v>656</v>
      </c>
      <c r="D62" s="89"/>
      <c r="E62" s="28"/>
      <c r="F62" s="19"/>
      <c r="G62" s="24"/>
      <c r="H62" s="21"/>
      <c r="I62" s="21"/>
      <c r="J62" s="27"/>
      <c r="K62" s="33"/>
    </row>
    <row r="63" spans="1:12" ht="81" customHeight="1" x14ac:dyDescent="0.2">
      <c r="A63" s="16" t="s">
        <v>191</v>
      </c>
      <c r="B63" s="30" t="s">
        <v>924</v>
      </c>
      <c r="C63" s="153"/>
      <c r="D63" s="89" t="s">
        <v>928</v>
      </c>
      <c r="E63" s="27" t="s">
        <v>224</v>
      </c>
      <c r="F63" s="19" t="s">
        <v>223</v>
      </c>
      <c r="G63" s="24" t="s">
        <v>658</v>
      </c>
      <c r="H63" s="21">
        <f>(755098153.19/1.18)/1000*$H$5</f>
        <v>639913.68914406793</v>
      </c>
      <c r="I63" s="21">
        <f>H63-(3069504.4)/1000*$H$5</f>
        <v>636844.18474406796</v>
      </c>
      <c r="J63" s="27" t="s">
        <v>224</v>
      </c>
      <c r="K63" s="33"/>
      <c r="L63" s="1" t="s">
        <v>657</v>
      </c>
    </row>
    <row r="64" spans="1:12" ht="81.75" customHeight="1" x14ac:dyDescent="0.2">
      <c r="A64" s="16" t="s">
        <v>192</v>
      </c>
      <c r="B64" s="30" t="s">
        <v>926</v>
      </c>
      <c r="C64" s="153"/>
      <c r="D64" s="89" t="s">
        <v>927</v>
      </c>
      <c r="E64" s="28" t="s">
        <v>185</v>
      </c>
      <c r="F64" s="19" t="s">
        <v>31</v>
      </c>
      <c r="G64" s="19" t="s">
        <v>11</v>
      </c>
      <c r="H64" s="21">
        <f>(263049495)/1000*$H$5</f>
        <v>263049.495</v>
      </c>
      <c r="I64" s="21">
        <f>H64-(3429672+4392871+1527542)/1000*$H$5</f>
        <v>253699.41</v>
      </c>
      <c r="J64" s="27" t="s">
        <v>225</v>
      </c>
      <c r="K64" s="33"/>
    </row>
    <row r="65" spans="1:12" ht="60" x14ac:dyDescent="0.2">
      <c r="A65" s="16" t="s">
        <v>193</v>
      </c>
      <c r="B65" s="30" t="s">
        <v>226</v>
      </c>
      <c r="C65" s="153"/>
      <c r="D65" s="89" t="s">
        <v>659</v>
      </c>
      <c r="E65" s="28" t="s">
        <v>185</v>
      </c>
      <c r="F65" s="19" t="s">
        <v>227</v>
      </c>
      <c r="G65" s="24" t="s">
        <v>660</v>
      </c>
      <c r="H65" s="21">
        <f>(1073038839.44)/1000*$H$5</f>
        <v>1073038.83944</v>
      </c>
      <c r="I65" s="21">
        <f>H65-(213273640+1475718+31875722+14558003+15523386+31999188+33739055+9912986+24735430)/1000*$H$5</f>
        <v>695945.71143999998</v>
      </c>
      <c r="J65" s="27" t="s">
        <v>185</v>
      </c>
      <c r="K65" s="33"/>
      <c r="L65" s="1" t="s">
        <v>659</v>
      </c>
    </row>
    <row r="66" spans="1:12" ht="48" x14ac:dyDescent="0.2">
      <c r="A66" s="16" t="s">
        <v>194</v>
      </c>
      <c r="B66" s="30" t="s">
        <v>228</v>
      </c>
      <c r="C66" s="153"/>
      <c r="D66" s="89" t="s">
        <v>662</v>
      </c>
      <c r="E66" s="28" t="s">
        <v>185</v>
      </c>
      <c r="F66" s="19" t="s">
        <v>13</v>
      </c>
      <c r="G66" s="24" t="s">
        <v>661</v>
      </c>
      <c r="H66" s="21">
        <f>(580672306.54)/1000*$H$5</f>
        <v>580672.30654000002</v>
      </c>
      <c r="I66" s="21">
        <f>H66-(131445396+7611196+8912693+1312680)/1000*$H$5</f>
        <v>431390.34154000005</v>
      </c>
      <c r="J66" s="27" t="s">
        <v>229</v>
      </c>
      <c r="K66" s="33"/>
      <c r="L66" s="1" t="s">
        <v>662</v>
      </c>
    </row>
    <row r="67" spans="1:12" ht="63.75" customHeight="1" x14ac:dyDescent="0.2">
      <c r="A67" s="16" t="s">
        <v>195</v>
      </c>
      <c r="B67" s="30" t="s">
        <v>929</v>
      </c>
      <c r="C67" s="153"/>
      <c r="D67" s="89" t="s">
        <v>663</v>
      </c>
      <c r="E67" s="28" t="s">
        <v>237</v>
      </c>
      <c r="F67" s="19" t="s">
        <v>61</v>
      </c>
      <c r="G67" s="24" t="s">
        <v>664</v>
      </c>
      <c r="H67" s="21">
        <f>(80521374.83)/1000*$H$5</f>
        <v>80521.374830000001</v>
      </c>
      <c r="I67" s="21">
        <f>H67-(0)/1000*$H$5</f>
        <v>80521.374830000001</v>
      </c>
      <c r="J67" s="27" t="s">
        <v>237</v>
      </c>
      <c r="K67" s="33"/>
      <c r="L67" s="1" t="s">
        <v>663</v>
      </c>
    </row>
    <row r="68" spans="1:12" ht="48" x14ac:dyDescent="0.2">
      <c r="A68" s="16" t="s">
        <v>196</v>
      </c>
      <c r="B68" s="30" t="s">
        <v>238</v>
      </c>
      <c r="C68" s="153"/>
      <c r="D68" s="89" t="s">
        <v>665</v>
      </c>
      <c r="E68" s="28" t="s">
        <v>239</v>
      </c>
      <c r="F68" s="19" t="s">
        <v>103</v>
      </c>
      <c r="G68" s="24" t="s">
        <v>666</v>
      </c>
      <c r="H68" s="21">
        <f>(36517483.6/1.18)/1000*$H$5</f>
        <v>30947.020000000004</v>
      </c>
      <c r="I68" s="21">
        <f>H68-(0)/1000*$H$5</f>
        <v>30947.020000000004</v>
      </c>
      <c r="J68" s="27" t="s">
        <v>239</v>
      </c>
      <c r="K68" s="33"/>
      <c r="L68" s="1" t="s">
        <v>665</v>
      </c>
    </row>
    <row r="69" spans="1:12" ht="68.25" customHeight="1" x14ac:dyDescent="0.2">
      <c r="A69" s="16" t="s">
        <v>197</v>
      </c>
      <c r="B69" s="78" t="s">
        <v>931</v>
      </c>
      <c r="C69" s="28" t="s">
        <v>234</v>
      </c>
      <c r="D69" s="89" t="s">
        <v>930</v>
      </c>
      <c r="E69" s="30" t="s">
        <v>334</v>
      </c>
      <c r="F69" s="19" t="s">
        <v>35</v>
      </c>
      <c r="G69" s="19" t="s">
        <v>230</v>
      </c>
      <c r="H69" s="21">
        <f>(11102044)/1000*$H$5</f>
        <v>11102.044</v>
      </c>
      <c r="I69" s="21">
        <f t="shared" ref="I69:I81" si="3">H69-(0)/1000*$H$5</f>
        <v>11102.044</v>
      </c>
      <c r="J69" s="27" t="s">
        <v>335</v>
      </c>
      <c r="K69" s="33"/>
    </row>
    <row r="70" spans="1:12" ht="52.5" customHeight="1" x14ac:dyDescent="0.2">
      <c r="A70" s="16" t="s">
        <v>198</v>
      </c>
      <c r="B70" s="78" t="s">
        <v>932</v>
      </c>
      <c r="C70" s="28"/>
      <c r="D70" s="89" t="s">
        <v>933</v>
      </c>
      <c r="E70" s="30" t="s">
        <v>232</v>
      </c>
      <c r="F70" s="19" t="s">
        <v>61</v>
      </c>
      <c r="G70" s="19" t="s">
        <v>61</v>
      </c>
      <c r="H70" s="21">
        <f>(1441492)/1000*$H$5</f>
        <v>1441.492</v>
      </c>
      <c r="I70" s="21">
        <f t="shared" si="3"/>
        <v>1441.492</v>
      </c>
      <c r="J70" s="27" t="s">
        <v>235</v>
      </c>
      <c r="K70" s="33"/>
    </row>
    <row r="71" spans="1:12" ht="36" x14ac:dyDescent="0.2">
      <c r="A71" s="16" t="s">
        <v>199</v>
      </c>
      <c r="B71" s="78" t="s">
        <v>240</v>
      </c>
      <c r="C71" s="28"/>
      <c r="D71" s="89"/>
      <c r="E71" s="30" t="s">
        <v>240</v>
      </c>
      <c r="F71" s="19" t="s">
        <v>62</v>
      </c>
      <c r="G71" s="19" t="s">
        <v>16</v>
      </c>
      <c r="H71" s="21">
        <f>(2545771)/1000*$H$5</f>
        <v>2545.7710000000002</v>
      </c>
      <c r="I71" s="21">
        <f t="shared" si="3"/>
        <v>2545.7710000000002</v>
      </c>
      <c r="J71" s="27" t="s">
        <v>241</v>
      </c>
      <c r="K71" s="33"/>
    </row>
    <row r="72" spans="1:12" ht="144" x14ac:dyDescent="0.2">
      <c r="A72" s="16" t="s">
        <v>200</v>
      </c>
      <c r="B72" s="78" t="s">
        <v>937</v>
      </c>
      <c r="C72" s="27" t="s">
        <v>667</v>
      </c>
      <c r="D72" s="88" t="s">
        <v>938</v>
      </c>
      <c r="E72" s="27" t="s">
        <v>939</v>
      </c>
      <c r="F72" s="19" t="s">
        <v>8</v>
      </c>
      <c r="G72" s="19" t="s">
        <v>9</v>
      </c>
      <c r="H72" s="21">
        <f>(33456472)/1000*$H$5</f>
        <v>33456.472000000002</v>
      </c>
      <c r="I72" s="21">
        <f>H72-(0)/1000*$H$5</f>
        <v>33456.472000000002</v>
      </c>
      <c r="J72" s="27" t="s">
        <v>936</v>
      </c>
      <c r="K72" s="33"/>
    </row>
    <row r="73" spans="1:12" ht="132" x14ac:dyDescent="0.2">
      <c r="A73" s="16" t="s">
        <v>201</v>
      </c>
      <c r="B73" s="78" t="s">
        <v>940</v>
      </c>
      <c r="C73" s="27" t="s">
        <v>764</v>
      </c>
      <c r="D73" s="88" t="s">
        <v>546</v>
      </c>
      <c r="E73" s="27" t="s">
        <v>941</v>
      </c>
      <c r="F73" s="19" t="s">
        <v>48</v>
      </c>
      <c r="G73" s="19" t="s">
        <v>9</v>
      </c>
      <c r="H73" s="21">
        <f>(96537111)/1000*$H$5</f>
        <v>96537.111000000004</v>
      </c>
      <c r="I73" s="21">
        <f>H73-(0)/1000*$H$5</f>
        <v>96537.111000000004</v>
      </c>
      <c r="J73" s="27" t="s">
        <v>545</v>
      </c>
      <c r="K73" s="33"/>
      <c r="L73" s="1" t="s">
        <v>546</v>
      </c>
    </row>
    <row r="74" spans="1:12" ht="96" x14ac:dyDescent="0.2">
      <c r="A74" s="16" t="s">
        <v>202</v>
      </c>
      <c r="B74" s="5" t="s">
        <v>942</v>
      </c>
      <c r="C74" s="27" t="s">
        <v>336</v>
      </c>
      <c r="D74" s="89" t="s">
        <v>944</v>
      </c>
      <c r="E74" s="27" t="s">
        <v>943</v>
      </c>
      <c r="F74" s="19" t="s">
        <v>13</v>
      </c>
      <c r="G74" s="19" t="s">
        <v>181</v>
      </c>
      <c r="H74" s="21">
        <f>(28683341.69)/1000*$H$5</f>
        <v>28683.341690000001</v>
      </c>
      <c r="I74" s="21">
        <f>H74-(5640762+8136815)/1000*$H$5</f>
        <v>14905.764690000002</v>
      </c>
      <c r="J74" s="27" t="s">
        <v>34</v>
      </c>
      <c r="K74" s="33"/>
    </row>
    <row r="75" spans="1:12" ht="48" x14ac:dyDescent="0.2">
      <c r="A75" s="16" t="s">
        <v>203</v>
      </c>
      <c r="B75" s="5" t="s">
        <v>945</v>
      </c>
      <c r="C75" s="28" t="s">
        <v>337</v>
      </c>
      <c r="D75" s="89" t="s">
        <v>946</v>
      </c>
      <c r="E75" s="27" t="s">
        <v>294</v>
      </c>
      <c r="F75" s="19" t="s">
        <v>8</v>
      </c>
      <c r="G75" s="19" t="s">
        <v>295</v>
      </c>
      <c r="H75" s="21">
        <f>(2645492)/1000*$H$5</f>
        <v>2645.4920000000002</v>
      </c>
      <c r="I75" s="21">
        <f t="shared" si="3"/>
        <v>2645.4920000000002</v>
      </c>
      <c r="J75" s="27" t="s">
        <v>294</v>
      </c>
      <c r="K75" s="33"/>
    </row>
    <row r="76" spans="1:12" ht="80.25" customHeight="1" x14ac:dyDescent="0.2">
      <c r="A76" s="16" t="s">
        <v>204</v>
      </c>
      <c r="B76" s="5" t="s">
        <v>299</v>
      </c>
      <c r="C76" s="28" t="s">
        <v>699</v>
      </c>
      <c r="D76" s="89" t="s">
        <v>950</v>
      </c>
      <c r="E76" s="27" t="s">
        <v>951</v>
      </c>
      <c r="F76" s="19" t="s">
        <v>36</v>
      </c>
      <c r="G76" s="19" t="s">
        <v>37</v>
      </c>
      <c r="H76" s="21">
        <v>8400</v>
      </c>
      <c r="I76" s="21">
        <v>8400</v>
      </c>
      <c r="J76" s="27" t="s">
        <v>38</v>
      </c>
      <c r="K76" s="33"/>
    </row>
    <row r="77" spans="1:12" ht="112.5" customHeight="1" x14ac:dyDescent="0.2">
      <c r="A77" s="16" t="s">
        <v>205</v>
      </c>
      <c r="B77" s="30" t="s">
        <v>23</v>
      </c>
      <c r="C77" s="28" t="s">
        <v>10</v>
      </c>
      <c r="D77" s="89" t="s">
        <v>947</v>
      </c>
      <c r="E77" s="27" t="s">
        <v>948</v>
      </c>
      <c r="F77" s="19" t="s">
        <v>12</v>
      </c>
      <c r="G77" s="19" t="s">
        <v>25</v>
      </c>
      <c r="H77" s="21">
        <f>(6953730.8)/1000*$H$5</f>
        <v>6953.7307999999994</v>
      </c>
      <c r="I77" s="21">
        <f>H77-(0)/1000*$H$5</f>
        <v>6953.7307999999994</v>
      </c>
      <c r="J77" s="27" t="s">
        <v>948</v>
      </c>
      <c r="K77" s="33"/>
      <c r="L77" s="1" t="s">
        <v>947</v>
      </c>
    </row>
    <row r="78" spans="1:12" ht="67.5" customHeight="1" x14ac:dyDescent="0.2">
      <c r="A78" s="16" t="s">
        <v>206</v>
      </c>
      <c r="B78" s="30" t="s">
        <v>300</v>
      </c>
      <c r="C78" s="28" t="s">
        <v>302</v>
      </c>
      <c r="D78" s="89" t="s">
        <v>952</v>
      </c>
      <c r="E78" s="27" t="s">
        <v>301</v>
      </c>
      <c r="F78" s="19" t="s">
        <v>5</v>
      </c>
      <c r="G78" s="19" t="s">
        <v>7</v>
      </c>
      <c r="H78" s="21">
        <f>(3599389.4/1.18)/1000*$H$5</f>
        <v>3050.33</v>
      </c>
      <c r="I78" s="21">
        <f t="shared" si="3"/>
        <v>3050.33</v>
      </c>
      <c r="J78" s="27" t="s">
        <v>301</v>
      </c>
      <c r="K78" s="33"/>
    </row>
    <row r="79" spans="1:12" ht="82.5" customHeight="1" x14ac:dyDescent="0.2">
      <c r="A79" s="16" t="s">
        <v>207</v>
      </c>
      <c r="B79" s="30" t="s">
        <v>303</v>
      </c>
      <c r="C79" s="28" t="s">
        <v>305</v>
      </c>
      <c r="D79" s="89" t="s">
        <v>622</v>
      </c>
      <c r="E79" s="27" t="s">
        <v>949</v>
      </c>
      <c r="F79" s="19" t="s">
        <v>139</v>
      </c>
      <c r="G79" s="19" t="s">
        <v>211</v>
      </c>
      <c r="H79" s="21">
        <f>(5412330)/1000*$H$5</f>
        <v>5412.33</v>
      </c>
      <c r="I79" s="21">
        <f t="shared" si="3"/>
        <v>5412.33</v>
      </c>
      <c r="J79" s="27" t="s">
        <v>304</v>
      </c>
      <c r="K79" s="33"/>
      <c r="L79" s="1" t="s">
        <v>622</v>
      </c>
    </row>
    <row r="80" spans="1:12" hidden="1" x14ac:dyDescent="0.2">
      <c r="A80" s="16"/>
      <c r="B80" s="30"/>
      <c r="C80" s="28"/>
      <c r="D80" s="89"/>
      <c r="E80" s="28"/>
      <c r="F80" s="19"/>
      <c r="G80" s="24"/>
      <c r="H80" s="13">
        <f>(0)/1000*$H$5</f>
        <v>0</v>
      </c>
      <c r="I80" s="13">
        <f t="shared" si="3"/>
        <v>0</v>
      </c>
      <c r="J80" s="27"/>
      <c r="K80" s="33"/>
    </row>
    <row r="81" spans="1:11" hidden="1" x14ac:dyDescent="0.2">
      <c r="A81" s="16"/>
      <c r="B81" s="30"/>
      <c r="C81" s="28"/>
      <c r="D81" s="89"/>
      <c r="E81" s="28"/>
      <c r="F81" s="19"/>
      <c r="G81" s="24"/>
      <c r="H81" s="13">
        <f>(0)/1000*$H$5</f>
        <v>0</v>
      </c>
      <c r="I81" s="13">
        <f t="shared" si="3"/>
        <v>0</v>
      </c>
      <c r="J81" s="27"/>
      <c r="K81" s="33"/>
    </row>
    <row r="82" spans="1:11" ht="84" x14ac:dyDescent="0.2">
      <c r="A82" s="84" t="s">
        <v>934</v>
      </c>
      <c r="B82" s="30" t="s">
        <v>935</v>
      </c>
      <c r="C82" s="28" t="s">
        <v>234</v>
      </c>
      <c r="D82" s="89" t="s">
        <v>953</v>
      </c>
      <c r="E82" s="45" t="s">
        <v>231</v>
      </c>
      <c r="F82" s="19" t="s">
        <v>101</v>
      </c>
      <c r="G82" s="19" t="s">
        <v>101</v>
      </c>
      <c r="H82" s="21">
        <f>(623681)/1000*$H$5</f>
        <v>623.68100000000004</v>
      </c>
      <c r="I82" s="21">
        <f>H82-(0)/1000*$H$5</f>
        <v>623.68100000000004</v>
      </c>
      <c r="J82" s="45" t="s">
        <v>231</v>
      </c>
      <c r="K82" s="33"/>
    </row>
    <row r="83" spans="1:11" ht="50.25" customHeight="1" x14ac:dyDescent="0.2">
      <c r="A83" s="80" t="s">
        <v>308</v>
      </c>
      <c r="B83" s="76" t="s">
        <v>338</v>
      </c>
      <c r="C83" s="152" t="s">
        <v>169</v>
      </c>
      <c r="D83" s="91"/>
      <c r="E83" s="64"/>
      <c r="F83" s="18"/>
      <c r="G83" s="18"/>
      <c r="H83" s="20">
        <f>(0)/1000*$H$5</f>
        <v>0</v>
      </c>
      <c r="I83" s="20">
        <f>H83-(0)/1000*$H$5</f>
        <v>0</v>
      </c>
      <c r="J83" s="26"/>
      <c r="K83" s="34"/>
    </row>
    <row r="84" spans="1:11" ht="36" x14ac:dyDescent="0.2">
      <c r="A84" s="16" t="s">
        <v>213</v>
      </c>
      <c r="B84" s="30" t="s">
        <v>266</v>
      </c>
      <c r="C84" s="153"/>
      <c r="D84" s="89" t="s">
        <v>954</v>
      </c>
      <c r="E84" s="27" t="s">
        <v>128</v>
      </c>
      <c r="F84" s="19" t="s">
        <v>174</v>
      </c>
      <c r="G84" s="19" t="s">
        <v>8</v>
      </c>
      <c r="H84" s="21">
        <f>(1935198.82/1.18)/1000*$H$5</f>
        <v>1639.9990000000003</v>
      </c>
      <c r="I84" s="21">
        <f t="shared" ref="I84:I113" si="4">H84-(0)/1000*$H$5</f>
        <v>1639.9990000000003</v>
      </c>
      <c r="J84" s="27" t="s">
        <v>128</v>
      </c>
      <c r="K84" s="33"/>
    </row>
    <row r="85" spans="1:11" ht="36" x14ac:dyDescent="0.2">
      <c r="A85" s="16" t="s">
        <v>214</v>
      </c>
      <c r="B85" s="30" t="s">
        <v>267</v>
      </c>
      <c r="C85" s="153"/>
      <c r="D85" s="89" t="s">
        <v>955</v>
      </c>
      <c r="E85" s="27" t="s">
        <v>175</v>
      </c>
      <c r="F85" s="19" t="s">
        <v>46</v>
      </c>
      <c r="G85" s="19" t="s">
        <v>126</v>
      </c>
      <c r="H85" s="21">
        <f>(570000)/1000*$H$5</f>
        <v>570</v>
      </c>
      <c r="I85" s="21">
        <f t="shared" si="4"/>
        <v>570</v>
      </c>
      <c r="J85" s="27" t="s">
        <v>175</v>
      </c>
      <c r="K85" s="33"/>
    </row>
    <row r="86" spans="1:11" ht="36" x14ac:dyDescent="0.2">
      <c r="A86" s="16" t="s">
        <v>215</v>
      </c>
      <c r="B86" s="30" t="s">
        <v>268</v>
      </c>
      <c r="C86" s="153"/>
      <c r="D86" s="89" t="s">
        <v>956</v>
      </c>
      <c r="E86" s="27" t="s">
        <v>128</v>
      </c>
      <c r="F86" s="19" t="s">
        <v>176</v>
      </c>
      <c r="G86" s="19" t="s">
        <v>176</v>
      </c>
      <c r="H86" s="21">
        <f>(259600/1.18)/1000*$H$5</f>
        <v>220</v>
      </c>
      <c r="I86" s="21">
        <f t="shared" si="4"/>
        <v>220</v>
      </c>
      <c r="J86" s="27" t="s">
        <v>128</v>
      </c>
      <c r="K86" s="33"/>
    </row>
    <row r="87" spans="1:11" ht="36" x14ac:dyDescent="0.2">
      <c r="A87" s="16" t="s">
        <v>216</v>
      </c>
      <c r="B87" s="30" t="s">
        <v>269</v>
      </c>
      <c r="C87" s="153"/>
      <c r="D87" s="89" t="s">
        <v>957</v>
      </c>
      <c r="E87" s="27" t="s">
        <v>128</v>
      </c>
      <c r="F87" s="19" t="s">
        <v>177</v>
      </c>
      <c r="G87" s="19" t="s">
        <v>177</v>
      </c>
      <c r="H87" s="21">
        <f>(218300/1.18)/1000*$H$5</f>
        <v>185</v>
      </c>
      <c r="I87" s="21">
        <f t="shared" si="4"/>
        <v>185</v>
      </c>
      <c r="J87" s="27" t="s">
        <v>128</v>
      </c>
      <c r="K87" s="33"/>
    </row>
    <row r="88" spans="1:11" ht="62.25" customHeight="1" x14ac:dyDescent="0.2">
      <c r="A88" s="16" t="s">
        <v>217</v>
      </c>
      <c r="B88" s="30" t="s">
        <v>270</v>
      </c>
      <c r="C88" s="153"/>
      <c r="D88" s="89" t="s">
        <v>958</v>
      </c>
      <c r="E88" s="27" t="s">
        <v>175</v>
      </c>
      <c r="F88" s="19" t="s">
        <v>177</v>
      </c>
      <c r="G88" s="19" t="s">
        <v>54</v>
      </c>
      <c r="H88" s="21">
        <f>(390000)/1000*$H$5</f>
        <v>390</v>
      </c>
      <c r="I88" s="21">
        <f t="shared" si="4"/>
        <v>390</v>
      </c>
      <c r="J88" s="27" t="s">
        <v>175</v>
      </c>
      <c r="K88" s="33"/>
    </row>
    <row r="89" spans="1:11" ht="45" x14ac:dyDescent="0.2">
      <c r="A89" s="16" t="s">
        <v>309</v>
      </c>
      <c r="B89" s="30" t="s">
        <v>271</v>
      </c>
      <c r="C89" s="153"/>
      <c r="D89" s="89" t="s">
        <v>959</v>
      </c>
      <c r="E89" s="27" t="s">
        <v>178</v>
      </c>
      <c r="F89" s="19" t="s">
        <v>12</v>
      </c>
      <c r="G89" s="19" t="s">
        <v>12</v>
      </c>
      <c r="H89" s="21">
        <f>(279660/1.18)/1000*$H$5</f>
        <v>237</v>
      </c>
      <c r="I89" s="21">
        <f t="shared" si="4"/>
        <v>237</v>
      </c>
      <c r="J89" s="27" t="s">
        <v>178</v>
      </c>
      <c r="K89" s="33"/>
    </row>
    <row r="90" spans="1:11" ht="45" x14ac:dyDescent="0.2">
      <c r="A90" s="16" t="s">
        <v>310</v>
      </c>
      <c r="B90" s="30" t="s">
        <v>272</v>
      </c>
      <c r="C90" s="153"/>
      <c r="D90" s="89" t="s">
        <v>960</v>
      </c>
      <c r="E90" s="27" t="s">
        <v>178</v>
      </c>
      <c r="F90" s="19" t="s">
        <v>179</v>
      </c>
      <c r="G90" s="19" t="s">
        <v>52</v>
      </c>
      <c r="H90" s="21">
        <f>(731598.82/1.18)/1000*$H$5</f>
        <v>619.99900000000002</v>
      </c>
      <c r="I90" s="21">
        <f t="shared" si="4"/>
        <v>619.99900000000002</v>
      </c>
      <c r="J90" s="27" t="s">
        <v>178</v>
      </c>
      <c r="K90" s="33"/>
    </row>
    <row r="91" spans="1:11" ht="45" x14ac:dyDescent="0.2">
      <c r="A91" s="16" t="s">
        <v>311</v>
      </c>
      <c r="B91" s="30" t="s">
        <v>273</v>
      </c>
      <c r="C91" s="153"/>
      <c r="D91" s="89" t="s">
        <v>961</v>
      </c>
      <c r="E91" s="27" t="s">
        <v>180</v>
      </c>
      <c r="F91" s="19" t="s">
        <v>181</v>
      </c>
      <c r="G91" s="19" t="s">
        <v>51</v>
      </c>
      <c r="H91" s="21">
        <f>(70800/1.18)/1000*$H$5</f>
        <v>60</v>
      </c>
      <c r="I91" s="21">
        <f t="shared" si="4"/>
        <v>60</v>
      </c>
      <c r="J91" s="27" t="s">
        <v>180</v>
      </c>
      <c r="K91" s="33"/>
    </row>
    <row r="92" spans="1:11" ht="60" x14ac:dyDescent="0.2">
      <c r="A92" s="16" t="s">
        <v>312</v>
      </c>
      <c r="B92" s="30" t="s">
        <v>274</v>
      </c>
      <c r="C92" s="153"/>
      <c r="D92" s="89" t="s">
        <v>962</v>
      </c>
      <c r="E92" s="27" t="s">
        <v>178</v>
      </c>
      <c r="F92" s="19" t="s">
        <v>56</v>
      </c>
      <c r="G92" s="19" t="s">
        <v>129</v>
      </c>
      <c r="H92" s="21">
        <f>(300000)/1000*$H$5</f>
        <v>300</v>
      </c>
      <c r="I92" s="21">
        <f t="shared" si="4"/>
        <v>300</v>
      </c>
      <c r="J92" s="27" t="s">
        <v>178</v>
      </c>
      <c r="K92" s="33"/>
    </row>
    <row r="93" spans="1:11" ht="60" x14ac:dyDescent="0.2">
      <c r="A93" s="16" t="s">
        <v>313</v>
      </c>
      <c r="B93" s="30" t="s">
        <v>275</v>
      </c>
      <c r="C93" s="153"/>
      <c r="D93" s="89" t="s">
        <v>963</v>
      </c>
      <c r="E93" s="27" t="s">
        <v>175</v>
      </c>
      <c r="F93" s="19" t="s">
        <v>56</v>
      </c>
      <c r="G93" s="19" t="s">
        <v>52</v>
      </c>
      <c r="H93" s="21">
        <f>(780000)/1000*$H$5</f>
        <v>780</v>
      </c>
      <c r="I93" s="21">
        <f t="shared" si="4"/>
        <v>780</v>
      </c>
      <c r="J93" s="27" t="s">
        <v>175</v>
      </c>
      <c r="K93" s="33"/>
    </row>
    <row r="94" spans="1:11" ht="33.75" x14ac:dyDescent="0.2">
      <c r="A94" s="16" t="s">
        <v>314</v>
      </c>
      <c r="B94" s="30" t="s">
        <v>276</v>
      </c>
      <c r="C94" s="42"/>
      <c r="D94" s="89" t="s">
        <v>964</v>
      </c>
      <c r="E94" s="27" t="s">
        <v>182</v>
      </c>
      <c r="F94" s="19" t="s">
        <v>132</v>
      </c>
      <c r="G94" s="19" t="s">
        <v>7</v>
      </c>
      <c r="H94" s="21">
        <f>(2285000)/1000*$H$5</f>
        <v>2285</v>
      </c>
      <c r="I94" s="21">
        <f t="shared" si="4"/>
        <v>2285</v>
      </c>
      <c r="J94" s="27" t="s">
        <v>182</v>
      </c>
      <c r="K94" s="33"/>
    </row>
    <row r="95" spans="1:11" ht="36" x14ac:dyDescent="0.2">
      <c r="A95" s="16" t="s">
        <v>315</v>
      </c>
      <c r="B95" s="30" t="s">
        <v>277</v>
      </c>
      <c r="C95" s="42"/>
      <c r="D95" s="89" t="s">
        <v>965</v>
      </c>
      <c r="E95" s="27" t="s">
        <v>136</v>
      </c>
      <c r="F95" s="19" t="s">
        <v>4</v>
      </c>
      <c r="G95" s="19" t="s">
        <v>14</v>
      </c>
      <c r="H95" s="21">
        <f>(7400000)/1000*$H$5</f>
        <v>7400</v>
      </c>
      <c r="I95" s="21">
        <f>H95-(3960545+263553)/1000*$H$5</f>
        <v>3175.902</v>
      </c>
      <c r="J95" s="27" t="s">
        <v>136</v>
      </c>
      <c r="K95" s="33"/>
    </row>
    <row r="96" spans="1:11" ht="33.75" x14ac:dyDescent="0.2">
      <c r="A96" s="16" t="s">
        <v>316</v>
      </c>
      <c r="B96" s="30" t="s">
        <v>278</v>
      </c>
      <c r="C96" s="42"/>
      <c r="D96" s="89" t="s">
        <v>966</v>
      </c>
      <c r="E96" s="27" t="s">
        <v>182</v>
      </c>
      <c r="F96" s="19" t="s">
        <v>24</v>
      </c>
      <c r="G96" s="19" t="s">
        <v>95</v>
      </c>
      <c r="H96" s="21">
        <f>(1949000)/1000*$H$5</f>
        <v>1949</v>
      </c>
      <c r="I96" s="21">
        <f t="shared" si="4"/>
        <v>1949</v>
      </c>
      <c r="J96" s="27" t="s">
        <v>182</v>
      </c>
      <c r="K96" s="33"/>
    </row>
    <row r="97" spans="1:11" ht="33.75" x14ac:dyDescent="0.2">
      <c r="A97" s="16" t="s">
        <v>317</v>
      </c>
      <c r="B97" s="30" t="s">
        <v>279</v>
      </c>
      <c r="C97" s="42"/>
      <c r="D97" s="89" t="s">
        <v>967</v>
      </c>
      <c r="E97" s="27" t="s">
        <v>182</v>
      </c>
      <c r="F97" s="19" t="s">
        <v>91</v>
      </c>
      <c r="G97" s="19" t="s">
        <v>93</v>
      </c>
      <c r="H97" s="21">
        <f>(460000)/1000*$H$5</f>
        <v>460</v>
      </c>
      <c r="I97" s="21">
        <f t="shared" si="4"/>
        <v>460</v>
      </c>
      <c r="J97" s="27" t="s">
        <v>182</v>
      </c>
      <c r="K97" s="33"/>
    </row>
    <row r="98" spans="1:11" ht="36" x14ac:dyDescent="0.2">
      <c r="A98" s="16" t="s">
        <v>318</v>
      </c>
      <c r="B98" s="30" t="s">
        <v>280</v>
      </c>
      <c r="C98" s="42"/>
      <c r="D98" s="89" t="s">
        <v>968</v>
      </c>
      <c r="E98" s="27" t="s">
        <v>183</v>
      </c>
      <c r="F98" s="19" t="s">
        <v>137</v>
      </c>
      <c r="G98" s="19" t="s">
        <v>139</v>
      </c>
      <c r="H98" s="21">
        <f>(777278)/1000*$H$5</f>
        <v>777.27800000000002</v>
      </c>
      <c r="I98" s="21">
        <f>H98-(98229)/1000*$H$5</f>
        <v>679.04899999999998</v>
      </c>
      <c r="J98" s="27" t="s">
        <v>183</v>
      </c>
      <c r="K98" s="33"/>
    </row>
    <row r="99" spans="1:11" ht="36" x14ac:dyDescent="0.2">
      <c r="A99" s="16" t="s">
        <v>319</v>
      </c>
      <c r="B99" s="30" t="s">
        <v>281</v>
      </c>
      <c r="C99" s="42"/>
      <c r="D99" s="89" t="s">
        <v>969</v>
      </c>
      <c r="E99" s="27" t="s">
        <v>183</v>
      </c>
      <c r="F99" s="19" t="s">
        <v>137</v>
      </c>
      <c r="G99" s="19" t="s">
        <v>139</v>
      </c>
      <c r="H99" s="21">
        <f>(956000)/1000*$H$5</f>
        <v>956</v>
      </c>
      <c r="I99" s="21">
        <f>H99-(341273)/1000*$H$5</f>
        <v>614.72699999999998</v>
      </c>
      <c r="J99" s="27" t="s">
        <v>183</v>
      </c>
      <c r="K99" s="33"/>
    </row>
    <row r="100" spans="1:11" ht="36" x14ac:dyDescent="0.2">
      <c r="A100" s="16" t="s">
        <v>320</v>
      </c>
      <c r="B100" s="30" t="s">
        <v>282</v>
      </c>
      <c r="C100" s="42"/>
      <c r="D100" s="89" t="s">
        <v>970</v>
      </c>
      <c r="E100" s="27" t="s">
        <v>183</v>
      </c>
      <c r="F100" s="19" t="s">
        <v>137</v>
      </c>
      <c r="G100" s="19" t="s">
        <v>139</v>
      </c>
      <c r="H100" s="21">
        <f>(790000)/1000*$H$5</f>
        <v>790</v>
      </c>
      <c r="I100" s="21">
        <f>H100-(222000)/1000*$H$5</f>
        <v>568</v>
      </c>
      <c r="J100" s="27" t="s">
        <v>183</v>
      </c>
      <c r="K100" s="33"/>
    </row>
    <row r="101" spans="1:11" ht="39" customHeight="1" x14ac:dyDescent="0.2">
      <c r="A101" s="16" t="s">
        <v>321</v>
      </c>
      <c r="B101" s="30" t="s">
        <v>283</v>
      </c>
      <c r="C101" s="42"/>
      <c r="D101" s="89" t="s">
        <v>971</v>
      </c>
      <c r="E101" s="27" t="s">
        <v>182</v>
      </c>
      <c r="F101" s="19" t="s">
        <v>16</v>
      </c>
      <c r="G101" s="19" t="s">
        <v>11</v>
      </c>
      <c r="H101" s="21">
        <f>(333000)/1000*$H$5</f>
        <v>333</v>
      </c>
      <c r="I101" s="21">
        <f t="shared" si="4"/>
        <v>333</v>
      </c>
      <c r="J101" s="27" t="s">
        <v>182</v>
      </c>
      <c r="K101" s="33"/>
    </row>
    <row r="102" spans="1:11" ht="31.5" customHeight="1" x14ac:dyDescent="0.2">
      <c r="A102" s="17" t="s">
        <v>322</v>
      </c>
      <c r="B102" s="36" t="s">
        <v>284</v>
      </c>
      <c r="C102" s="69"/>
      <c r="D102" s="89" t="s">
        <v>972</v>
      </c>
      <c r="E102" s="23" t="s">
        <v>182</v>
      </c>
      <c r="F102" s="12" t="s">
        <v>107</v>
      </c>
      <c r="G102" s="12" t="s">
        <v>11</v>
      </c>
      <c r="H102" s="13">
        <f>(1356000)/1000*$H$5</f>
        <v>1356</v>
      </c>
      <c r="I102" s="13">
        <f t="shared" si="4"/>
        <v>1356</v>
      </c>
      <c r="J102" s="23" t="s">
        <v>182</v>
      </c>
      <c r="K102" s="31"/>
    </row>
    <row r="103" spans="1:11" ht="30.75" customHeight="1" x14ac:dyDescent="0.2">
      <c r="A103" s="79" t="s">
        <v>212</v>
      </c>
      <c r="B103" s="81" t="s">
        <v>285</v>
      </c>
      <c r="C103" s="152" t="s">
        <v>208</v>
      </c>
      <c r="D103" s="91"/>
      <c r="E103" s="64"/>
      <c r="F103" s="18"/>
      <c r="G103" s="18"/>
      <c r="H103" s="20">
        <f>(0)/1000*$H$5</f>
        <v>0</v>
      </c>
      <c r="I103" s="20">
        <f t="shared" si="4"/>
        <v>0</v>
      </c>
      <c r="J103" s="26"/>
      <c r="K103" s="34"/>
    </row>
    <row r="104" spans="1:11" ht="36" x14ac:dyDescent="0.2">
      <c r="A104" s="16" t="s">
        <v>323</v>
      </c>
      <c r="B104" s="30" t="s">
        <v>286</v>
      </c>
      <c r="C104" s="153"/>
      <c r="D104" s="89" t="s">
        <v>973</v>
      </c>
      <c r="E104" s="27" t="s">
        <v>210</v>
      </c>
      <c r="F104" s="19" t="s">
        <v>60</v>
      </c>
      <c r="G104" s="19" t="s">
        <v>9</v>
      </c>
      <c r="H104" s="21">
        <f>(2597207)/1000*$H$5</f>
        <v>2597.2069999999999</v>
      </c>
      <c r="I104" s="21">
        <f t="shared" si="4"/>
        <v>2597.2069999999999</v>
      </c>
      <c r="J104" s="27" t="s">
        <v>210</v>
      </c>
      <c r="K104" s="33"/>
    </row>
    <row r="105" spans="1:11" ht="36" x14ac:dyDescent="0.2">
      <c r="A105" s="16" t="s">
        <v>324</v>
      </c>
      <c r="B105" s="30" t="s">
        <v>287</v>
      </c>
      <c r="C105" s="153"/>
      <c r="D105" s="89" t="s">
        <v>974</v>
      </c>
      <c r="E105" s="27" t="s">
        <v>182</v>
      </c>
      <c r="F105" s="19" t="s">
        <v>211</v>
      </c>
      <c r="G105" s="19" t="s">
        <v>11</v>
      </c>
      <c r="H105" s="21">
        <f>(4745324)/1000*$H$5</f>
        <v>4745.3239999999996</v>
      </c>
      <c r="I105" s="21">
        <f t="shared" si="4"/>
        <v>4745.3239999999996</v>
      </c>
      <c r="J105" s="27" t="s">
        <v>182</v>
      </c>
      <c r="K105" s="33"/>
    </row>
    <row r="106" spans="1:11" ht="33.75" x14ac:dyDescent="0.2">
      <c r="A106" s="16" t="s">
        <v>325</v>
      </c>
      <c r="B106" s="30" t="s">
        <v>288</v>
      </c>
      <c r="C106" s="153"/>
      <c r="D106" s="89" t="s">
        <v>975</v>
      </c>
      <c r="E106" s="27" t="s">
        <v>182</v>
      </c>
      <c r="F106" s="19" t="s">
        <v>211</v>
      </c>
      <c r="G106" s="19" t="s">
        <v>11</v>
      </c>
      <c r="H106" s="21">
        <f>(2553018)/1000*$H$5</f>
        <v>2553.018</v>
      </c>
      <c r="I106" s="21">
        <f t="shared" si="4"/>
        <v>2553.018</v>
      </c>
      <c r="J106" s="27" t="s">
        <v>182</v>
      </c>
      <c r="K106" s="33"/>
    </row>
    <row r="107" spans="1:11" ht="48" x14ac:dyDescent="0.2">
      <c r="A107" s="16" t="s">
        <v>326</v>
      </c>
      <c r="B107" s="30" t="s">
        <v>339</v>
      </c>
      <c r="C107" s="153"/>
      <c r="D107" s="89" t="s">
        <v>976</v>
      </c>
      <c r="E107" s="27" t="s">
        <v>182</v>
      </c>
      <c r="F107" s="19" t="s">
        <v>211</v>
      </c>
      <c r="G107" s="19" t="s">
        <v>11</v>
      </c>
      <c r="H107" s="21">
        <f>(500000)/1000*$H$5</f>
        <v>500</v>
      </c>
      <c r="I107" s="21">
        <f t="shared" si="4"/>
        <v>500</v>
      </c>
      <c r="J107" s="27" t="s">
        <v>182</v>
      </c>
      <c r="K107" s="33"/>
    </row>
    <row r="108" spans="1:11" ht="46.5" customHeight="1" x14ac:dyDescent="0.2">
      <c r="A108" s="16" t="s">
        <v>327</v>
      </c>
      <c r="B108" s="30" t="s">
        <v>289</v>
      </c>
      <c r="C108" s="42"/>
      <c r="D108" s="89" t="s">
        <v>977</v>
      </c>
      <c r="E108" s="27" t="s">
        <v>182</v>
      </c>
      <c r="F108" s="19" t="s">
        <v>16</v>
      </c>
      <c r="G108" s="19" t="s">
        <v>107</v>
      </c>
      <c r="H108" s="21">
        <f>(299973)/1000*$H$5</f>
        <v>299.97300000000001</v>
      </c>
      <c r="I108" s="21">
        <f t="shared" si="4"/>
        <v>299.97300000000001</v>
      </c>
      <c r="J108" s="27" t="s">
        <v>182</v>
      </c>
      <c r="K108" s="33"/>
    </row>
    <row r="109" spans="1:11" ht="39.75" customHeight="1" x14ac:dyDescent="0.2">
      <c r="A109" s="79" t="s">
        <v>328</v>
      </c>
      <c r="B109" s="81" t="s">
        <v>291</v>
      </c>
      <c r="C109" s="152" t="s">
        <v>218</v>
      </c>
      <c r="D109" s="91"/>
      <c r="E109" s="64"/>
      <c r="F109" s="18"/>
      <c r="G109" s="18"/>
      <c r="H109" s="20">
        <f>(0)/1000*$H$5</f>
        <v>0</v>
      </c>
      <c r="I109" s="20">
        <f t="shared" si="4"/>
        <v>0</v>
      </c>
      <c r="J109" s="26"/>
      <c r="K109" s="34"/>
    </row>
    <row r="110" spans="1:11" ht="60.75" customHeight="1" x14ac:dyDescent="0.2">
      <c r="A110" s="16" t="s">
        <v>329</v>
      </c>
      <c r="B110" s="30" t="s">
        <v>290</v>
      </c>
      <c r="C110" s="154"/>
      <c r="D110" s="90" t="s">
        <v>978</v>
      </c>
      <c r="E110" s="23" t="s">
        <v>669</v>
      </c>
      <c r="F110" s="12" t="s">
        <v>104</v>
      </c>
      <c r="G110" s="48" t="s">
        <v>62</v>
      </c>
      <c r="H110" s="13">
        <f>(485000)/1000*$H$5</f>
        <v>485</v>
      </c>
      <c r="I110" s="13">
        <f t="shared" si="4"/>
        <v>485</v>
      </c>
      <c r="J110" s="27" t="s">
        <v>669</v>
      </c>
      <c r="K110" s="33"/>
    </row>
    <row r="111" spans="1:11" ht="48" customHeight="1" x14ac:dyDescent="0.2">
      <c r="A111" s="82" t="s">
        <v>330</v>
      </c>
      <c r="B111" s="81" t="s">
        <v>342</v>
      </c>
      <c r="C111" s="152" t="s">
        <v>340</v>
      </c>
      <c r="D111" s="89"/>
      <c r="E111" s="28"/>
      <c r="F111" s="19"/>
      <c r="G111" s="19"/>
      <c r="H111" s="21">
        <f>(0)/1000*$H$5</f>
        <v>0</v>
      </c>
      <c r="I111" s="21">
        <f t="shared" si="4"/>
        <v>0</v>
      </c>
      <c r="J111" s="26"/>
      <c r="K111" s="34"/>
    </row>
    <row r="112" spans="1:11" ht="52.5" customHeight="1" x14ac:dyDescent="0.2">
      <c r="A112" s="16" t="s">
        <v>331</v>
      </c>
      <c r="B112" s="30" t="s">
        <v>292</v>
      </c>
      <c r="C112" s="153"/>
      <c r="D112" s="89" t="s">
        <v>979</v>
      </c>
      <c r="E112" s="30" t="s">
        <v>292</v>
      </c>
      <c r="F112" s="19" t="s">
        <v>181</v>
      </c>
      <c r="G112" s="19" t="s">
        <v>54</v>
      </c>
      <c r="H112" s="21">
        <f>(689928.84)/1000*$H$5</f>
        <v>689.92883999999992</v>
      </c>
      <c r="I112" s="21">
        <f t="shared" si="4"/>
        <v>689.92883999999992</v>
      </c>
      <c r="J112" s="27" t="s">
        <v>219</v>
      </c>
      <c r="K112" s="33"/>
    </row>
    <row r="113" spans="1:12" ht="36" x14ac:dyDescent="0.2">
      <c r="A113" s="16" t="s">
        <v>332</v>
      </c>
      <c r="B113" s="36" t="s">
        <v>293</v>
      </c>
      <c r="C113" s="153"/>
      <c r="D113" s="90" t="s">
        <v>980</v>
      </c>
      <c r="E113" s="36" t="s">
        <v>292</v>
      </c>
      <c r="F113" s="12" t="s">
        <v>181</v>
      </c>
      <c r="G113" s="12" t="s">
        <v>54</v>
      </c>
      <c r="H113" s="13">
        <f>(669986.7)/1000*$H$5</f>
        <v>669.98669999999993</v>
      </c>
      <c r="I113" s="13">
        <f t="shared" si="4"/>
        <v>669.98669999999993</v>
      </c>
      <c r="J113" s="23" t="s">
        <v>670</v>
      </c>
      <c r="K113" s="31"/>
    </row>
    <row r="114" spans="1:12" ht="42" customHeight="1" x14ac:dyDescent="0.2">
      <c r="A114" s="82" t="s">
        <v>356</v>
      </c>
      <c r="B114" s="83" t="s">
        <v>355</v>
      </c>
      <c r="C114" s="155" t="s">
        <v>361</v>
      </c>
      <c r="D114" s="92"/>
      <c r="E114" s="70"/>
      <c r="F114" s="54"/>
      <c r="G114" s="30"/>
      <c r="H114" s="30"/>
      <c r="I114" s="30"/>
      <c r="J114" s="26"/>
      <c r="K114" s="34"/>
    </row>
    <row r="115" spans="1:12" ht="42" customHeight="1" x14ac:dyDescent="0.2">
      <c r="A115" s="16" t="s">
        <v>357</v>
      </c>
      <c r="B115" s="53" t="s">
        <v>358</v>
      </c>
      <c r="C115" s="156"/>
      <c r="D115" s="92" t="s">
        <v>981</v>
      </c>
      <c r="E115" s="27" t="s">
        <v>368</v>
      </c>
      <c r="F115" s="55" t="s">
        <v>132</v>
      </c>
      <c r="G115" s="19" t="s">
        <v>60</v>
      </c>
      <c r="H115" s="21">
        <f>(13558188)/1000*$H$5</f>
        <v>13558.188</v>
      </c>
      <c r="I115" s="21">
        <f>H115-(469389+1258717+530611+1765439)/1000*$H$5</f>
        <v>9534.0319999999992</v>
      </c>
      <c r="J115" s="27" t="s">
        <v>368</v>
      </c>
      <c r="K115" s="33"/>
      <c r="L115" s="47" t="s">
        <v>369</v>
      </c>
    </row>
    <row r="116" spans="1:12" ht="33" customHeight="1" x14ac:dyDescent="0.2">
      <c r="A116" s="16" t="s">
        <v>360</v>
      </c>
      <c r="B116" s="53" t="s">
        <v>359</v>
      </c>
      <c r="C116" s="156"/>
      <c r="D116" s="92" t="s">
        <v>982</v>
      </c>
      <c r="E116" s="27" t="s">
        <v>371</v>
      </c>
      <c r="F116" s="55" t="s">
        <v>91</v>
      </c>
      <c r="G116" s="19" t="s">
        <v>95</v>
      </c>
      <c r="H116" s="21">
        <f>(2385000)/1000*$H$5</f>
        <v>2385</v>
      </c>
      <c r="I116" s="21">
        <f>H116-(0)/1000*$H$5</f>
        <v>2385</v>
      </c>
      <c r="J116" s="19" t="s">
        <v>371</v>
      </c>
      <c r="K116" s="19"/>
      <c r="L116" s="1" t="s">
        <v>370</v>
      </c>
    </row>
    <row r="117" spans="1:12" ht="227.25" customHeight="1" x14ac:dyDescent="0.2">
      <c r="A117" s="17" t="s">
        <v>366</v>
      </c>
      <c r="B117" s="36" t="s">
        <v>365</v>
      </c>
      <c r="C117" s="36" t="s">
        <v>686</v>
      </c>
      <c r="D117" s="93" t="s">
        <v>983</v>
      </c>
      <c r="E117" s="36" t="s">
        <v>498</v>
      </c>
      <c r="F117" s="12" t="s">
        <v>4</v>
      </c>
      <c r="G117" s="12" t="s">
        <v>5</v>
      </c>
      <c r="H117" s="13">
        <f>(10567316+8421143+7072314+700000+6014061)/1000*$H$5</f>
        <v>32774.834000000003</v>
      </c>
      <c r="I117" s="13">
        <f>H117-(0)/1000*$H$5</f>
        <v>32774.834000000003</v>
      </c>
      <c r="J117" s="23" t="s">
        <v>536</v>
      </c>
      <c r="K117" s="31"/>
      <c r="L117" s="47" t="s">
        <v>367</v>
      </c>
    </row>
    <row r="118" spans="1:12" ht="96" customHeight="1" x14ac:dyDescent="0.2">
      <c r="A118" s="46" t="s">
        <v>343</v>
      </c>
      <c r="B118" s="30" t="s">
        <v>672</v>
      </c>
      <c r="C118" s="152" t="s">
        <v>671</v>
      </c>
      <c r="D118" s="89" t="s">
        <v>984</v>
      </c>
      <c r="E118" s="23" t="s">
        <v>341</v>
      </c>
      <c r="F118" s="12" t="s">
        <v>126</v>
      </c>
      <c r="G118" s="12" t="s">
        <v>295</v>
      </c>
      <c r="H118" s="13">
        <f>(83139502.68)/1000*$H$5</f>
        <v>83139.502680000005</v>
      </c>
      <c r="I118" s="13">
        <f>H118-(6200000+10529012+8438715+108814)/1000*$H$5</f>
        <v>57862.961680000008</v>
      </c>
      <c r="J118" s="23" t="s">
        <v>341</v>
      </c>
      <c r="K118" s="31"/>
    </row>
    <row r="119" spans="1:12" ht="119.25" customHeight="1" x14ac:dyDescent="0.2">
      <c r="A119" s="17" t="s">
        <v>917</v>
      </c>
      <c r="B119" s="4" t="s">
        <v>344</v>
      </c>
      <c r="C119" s="153"/>
      <c r="D119" s="89" t="s">
        <v>345</v>
      </c>
      <c r="E119" s="23" t="s">
        <v>229</v>
      </c>
      <c r="F119" s="11" t="s">
        <v>176</v>
      </c>
      <c r="G119" s="11" t="s">
        <v>11</v>
      </c>
      <c r="H119" s="13">
        <f>(18470000+6000000+43638688+35800000)/1000*$H$5</f>
        <v>103908.68799999999</v>
      </c>
      <c r="I119" s="13">
        <f>H119-(6226282+584574+1856603+1161147+12527+807520+625000+1980019)/1000*$H$5</f>
        <v>90655.015999999989</v>
      </c>
      <c r="J119" s="2" t="s">
        <v>348</v>
      </c>
      <c r="K119" s="3"/>
      <c r="L119" s="47" t="s">
        <v>345</v>
      </c>
    </row>
    <row r="120" spans="1:12" ht="180" x14ac:dyDescent="0.2">
      <c r="A120" s="17">
        <v>11</v>
      </c>
      <c r="B120" s="2" t="s">
        <v>347</v>
      </c>
      <c r="C120" s="153"/>
      <c r="D120" s="89" t="s">
        <v>350</v>
      </c>
      <c r="E120" s="23" t="s">
        <v>229</v>
      </c>
      <c r="F120" s="11" t="s">
        <v>176</v>
      </c>
      <c r="G120" s="11" t="s">
        <v>9</v>
      </c>
      <c r="H120" s="13">
        <f>(17300000+16253101+2100000+19600000)/1000*$H$5</f>
        <v>55253.101000000002</v>
      </c>
      <c r="I120" s="13">
        <f>H120-(2581571+57053+300000)/1000*$H$5</f>
        <v>52314.476999999999</v>
      </c>
      <c r="J120" s="4" t="s">
        <v>349</v>
      </c>
      <c r="K120" s="3"/>
      <c r="L120" s="47" t="s">
        <v>350</v>
      </c>
    </row>
    <row r="121" spans="1:12" ht="60" x14ac:dyDescent="0.2">
      <c r="A121" s="17" t="s">
        <v>362</v>
      </c>
      <c r="B121" s="7" t="s">
        <v>351</v>
      </c>
      <c r="C121" s="153"/>
      <c r="D121" s="89" t="s">
        <v>353</v>
      </c>
      <c r="E121" s="23" t="s">
        <v>229</v>
      </c>
      <c r="F121" s="11" t="s">
        <v>51</v>
      </c>
      <c r="G121" s="11" t="s">
        <v>52</v>
      </c>
      <c r="H121" s="13">
        <f>(6478556)/1000*$H$5</f>
        <v>6478.5559999999996</v>
      </c>
      <c r="I121" s="13">
        <f>H121-(5170957)/1000*$H$5</f>
        <v>1307.5989999999993</v>
      </c>
      <c r="J121" s="2" t="s">
        <v>352</v>
      </c>
      <c r="K121" s="3"/>
      <c r="L121" s="1" t="s">
        <v>353</v>
      </c>
    </row>
    <row r="122" spans="1:12" ht="48" x14ac:dyDescent="0.2">
      <c r="A122" s="17" t="s">
        <v>363</v>
      </c>
      <c r="B122" s="7" t="s">
        <v>986</v>
      </c>
      <c r="C122" s="153"/>
      <c r="D122" s="89" t="s">
        <v>354</v>
      </c>
      <c r="E122" s="64" t="s">
        <v>985</v>
      </c>
      <c r="F122" s="18" t="s">
        <v>49</v>
      </c>
      <c r="G122" s="18" t="s">
        <v>9</v>
      </c>
      <c r="H122" s="21">
        <f>(24038994+777000)/1000*$H$5</f>
        <v>24815.993999999999</v>
      </c>
      <c r="I122" s="21">
        <f>H122-(2293986+1543444+4453835)/1000*$H$5</f>
        <v>16524.728999999999</v>
      </c>
      <c r="J122" s="49" t="s">
        <v>372</v>
      </c>
      <c r="K122" s="3"/>
      <c r="L122" s="47" t="s">
        <v>354</v>
      </c>
    </row>
    <row r="123" spans="1:12" ht="48" x14ac:dyDescent="0.2">
      <c r="A123" s="17" t="s">
        <v>392</v>
      </c>
      <c r="B123" s="7" t="s">
        <v>801</v>
      </c>
      <c r="C123" s="153"/>
      <c r="D123" s="95" t="s">
        <v>374</v>
      </c>
      <c r="E123" s="52" t="s">
        <v>987</v>
      </c>
      <c r="F123" s="11" t="s">
        <v>124</v>
      </c>
      <c r="G123" s="11" t="s">
        <v>35</v>
      </c>
      <c r="H123" s="60">
        <f>(5116926)/1000*$H$5</f>
        <v>5116.9260000000004</v>
      </c>
      <c r="I123" s="60">
        <f>H123-(199477+243074)/1000*$H$5</f>
        <v>4674.375</v>
      </c>
      <c r="J123" s="49" t="s">
        <v>373</v>
      </c>
      <c r="K123" s="3"/>
      <c r="L123" s="47" t="s">
        <v>374</v>
      </c>
    </row>
    <row r="124" spans="1:12" ht="60" x14ac:dyDescent="0.2">
      <c r="A124" s="17" t="s">
        <v>393</v>
      </c>
      <c r="B124" s="7" t="s">
        <v>802</v>
      </c>
      <c r="C124" s="153"/>
      <c r="D124" s="95" t="s">
        <v>376</v>
      </c>
      <c r="E124" s="52" t="s">
        <v>229</v>
      </c>
      <c r="F124" s="11" t="s">
        <v>132</v>
      </c>
      <c r="G124" s="11" t="s">
        <v>377</v>
      </c>
      <c r="H124" s="60">
        <f>(1730000+1570000)/1000*$H$5</f>
        <v>3300</v>
      </c>
      <c r="I124" s="60">
        <f>H124-(1422391)/1000*$H$5</f>
        <v>1877.6089999999999</v>
      </c>
      <c r="J124" s="49" t="s">
        <v>375</v>
      </c>
      <c r="K124" s="3"/>
      <c r="L124" s="47" t="s">
        <v>376</v>
      </c>
    </row>
    <row r="125" spans="1:12" ht="48" x14ac:dyDescent="0.2">
      <c r="A125" s="17" t="s">
        <v>394</v>
      </c>
      <c r="B125" s="7" t="s">
        <v>379</v>
      </c>
      <c r="C125" s="153"/>
      <c r="D125" s="95" t="s">
        <v>380</v>
      </c>
      <c r="E125" s="52" t="s">
        <v>378</v>
      </c>
      <c r="F125" s="11" t="s">
        <v>14</v>
      </c>
      <c r="G125" s="11" t="s">
        <v>7</v>
      </c>
      <c r="H125" s="60">
        <f>(990000)/1000*$H$5</f>
        <v>990</v>
      </c>
      <c r="I125" s="60">
        <f>H125-(0)/1000*$H$5</f>
        <v>990</v>
      </c>
      <c r="J125" s="49" t="s">
        <v>378</v>
      </c>
      <c r="K125" s="3"/>
      <c r="L125" s="47" t="s">
        <v>380</v>
      </c>
    </row>
    <row r="126" spans="1:12" ht="84" x14ac:dyDescent="0.2">
      <c r="A126" s="17" t="s">
        <v>395</v>
      </c>
      <c r="B126" s="7" t="s">
        <v>381</v>
      </c>
      <c r="C126" s="153"/>
      <c r="D126" s="95" t="s">
        <v>383</v>
      </c>
      <c r="E126" s="52" t="s">
        <v>988</v>
      </c>
      <c r="F126" s="11" t="s">
        <v>24</v>
      </c>
      <c r="G126" s="11" t="s">
        <v>11</v>
      </c>
      <c r="H126" s="60">
        <f>(1430000)/1000*$H$5</f>
        <v>1430</v>
      </c>
      <c r="I126" s="60">
        <f>H126-(0)/1000*$H$5</f>
        <v>1430</v>
      </c>
      <c r="J126" s="49" t="s">
        <v>382</v>
      </c>
      <c r="K126" s="3"/>
      <c r="L126" s="50" t="s">
        <v>383</v>
      </c>
    </row>
    <row r="127" spans="1:12" ht="72" x14ac:dyDescent="0.2">
      <c r="A127" s="17" t="s">
        <v>396</v>
      </c>
      <c r="B127" s="7" t="s">
        <v>674</v>
      </c>
      <c r="C127" s="153"/>
      <c r="D127" s="95" t="s">
        <v>990</v>
      </c>
      <c r="E127" s="52" t="s">
        <v>989</v>
      </c>
      <c r="F127" s="11" t="s">
        <v>86</v>
      </c>
      <c r="G127" s="11" t="s">
        <v>16</v>
      </c>
      <c r="H127" s="60">
        <f>(1269000+1511338)/1000*$H$5</f>
        <v>2780.3380000000002</v>
      </c>
      <c r="I127" s="60">
        <f>H127-(0)/1000*$H$5</f>
        <v>2780.3380000000002</v>
      </c>
      <c r="J127" s="49" t="s">
        <v>384</v>
      </c>
      <c r="K127" s="3"/>
      <c r="L127" s="51" t="s">
        <v>385</v>
      </c>
    </row>
    <row r="128" spans="1:12" ht="36" x14ac:dyDescent="0.2">
      <c r="A128" s="16" t="s">
        <v>397</v>
      </c>
      <c r="B128" s="7" t="s">
        <v>673</v>
      </c>
      <c r="C128" s="154"/>
      <c r="D128" s="95" t="s">
        <v>387</v>
      </c>
      <c r="E128" s="52" t="s">
        <v>386</v>
      </c>
      <c r="F128" s="11" t="s">
        <v>16</v>
      </c>
      <c r="G128" s="11" t="s">
        <v>15</v>
      </c>
      <c r="H128" s="60">
        <f>(5970000)/1000*$H$5</f>
        <v>5970</v>
      </c>
      <c r="I128" s="60">
        <f>H128-(404688+1840498)/1000*$H$5</f>
        <v>3724.8139999999999</v>
      </c>
      <c r="J128" s="57" t="s">
        <v>386</v>
      </c>
      <c r="K128" s="34"/>
      <c r="L128" s="50" t="s">
        <v>387</v>
      </c>
    </row>
    <row r="129" spans="1:12" ht="39" customHeight="1" x14ac:dyDescent="0.2">
      <c r="A129" s="38" t="s">
        <v>398</v>
      </c>
      <c r="B129" s="7" t="s">
        <v>390</v>
      </c>
      <c r="C129" s="163" t="s">
        <v>402</v>
      </c>
      <c r="D129" s="87"/>
      <c r="E129" s="26"/>
      <c r="F129" s="18"/>
      <c r="G129" s="18"/>
      <c r="H129" s="20"/>
      <c r="I129" s="20"/>
      <c r="J129" s="57"/>
      <c r="K129" s="14"/>
      <c r="L129" s="47"/>
    </row>
    <row r="130" spans="1:12" ht="123" customHeight="1" x14ac:dyDescent="0.2">
      <c r="A130" s="16" t="s">
        <v>399</v>
      </c>
      <c r="B130" s="30" t="s">
        <v>391</v>
      </c>
      <c r="C130" s="164"/>
      <c r="D130" s="88" t="s">
        <v>388</v>
      </c>
      <c r="E130" s="27" t="s">
        <v>991</v>
      </c>
      <c r="F130" s="19" t="s">
        <v>389</v>
      </c>
      <c r="G130" s="19"/>
      <c r="H130" s="21">
        <f>(46178318)/1000*$H$5</f>
        <v>46178.317999999999</v>
      </c>
      <c r="I130" s="21">
        <f>H130-(1471085+2237239+429854+2062761)/1000*$H$5</f>
        <v>39977.379000000001</v>
      </c>
      <c r="J130" s="45" t="s">
        <v>537</v>
      </c>
      <c r="K130" s="15"/>
      <c r="L130" s="47" t="s">
        <v>388</v>
      </c>
    </row>
    <row r="131" spans="1:12" ht="36" customHeight="1" x14ac:dyDescent="0.2">
      <c r="A131" s="17" t="s">
        <v>400</v>
      </c>
      <c r="B131" s="36" t="s">
        <v>404</v>
      </c>
      <c r="C131" s="164"/>
      <c r="D131" s="88" t="s">
        <v>401</v>
      </c>
      <c r="E131" s="45" t="s">
        <v>386</v>
      </c>
      <c r="F131" s="12" t="s">
        <v>177</v>
      </c>
      <c r="G131" s="12" t="s">
        <v>177</v>
      </c>
      <c r="H131" s="13">
        <f>(1750000)/1000*$H$5</f>
        <v>1750</v>
      </c>
      <c r="I131" s="13">
        <f>H131-(0)/1000*$H$5</f>
        <v>1750</v>
      </c>
      <c r="J131" s="58" t="s">
        <v>386</v>
      </c>
      <c r="K131" s="59"/>
      <c r="L131" s="47" t="s">
        <v>401</v>
      </c>
    </row>
    <row r="132" spans="1:12" ht="36" x14ac:dyDescent="0.2">
      <c r="A132" s="17" t="s">
        <v>403</v>
      </c>
      <c r="B132" s="30" t="s">
        <v>407</v>
      </c>
      <c r="C132" s="164"/>
      <c r="D132" s="98" t="s">
        <v>411</v>
      </c>
      <c r="E132" s="2" t="s">
        <v>386</v>
      </c>
      <c r="F132" s="12" t="s">
        <v>126</v>
      </c>
      <c r="G132" s="12" t="s">
        <v>8</v>
      </c>
      <c r="H132" s="13">
        <f>(900000)/1000*$H$5</f>
        <v>900</v>
      </c>
      <c r="I132" s="13">
        <f>H132-(0)/1000*$H$5</f>
        <v>900</v>
      </c>
      <c r="J132" s="58" t="s">
        <v>405</v>
      </c>
      <c r="K132" s="31"/>
      <c r="L132" s="47" t="s">
        <v>411</v>
      </c>
    </row>
    <row r="133" spans="1:12" ht="36" x14ac:dyDescent="0.2">
      <c r="A133" s="17" t="s">
        <v>408</v>
      </c>
      <c r="B133" s="7" t="s">
        <v>406</v>
      </c>
      <c r="C133" s="164"/>
      <c r="D133" s="98" t="s">
        <v>412</v>
      </c>
      <c r="E133" s="2" t="s">
        <v>409</v>
      </c>
      <c r="F133" s="11" t="s">
        <v>410</v>
      </c>
      <c r="G133" s="11" t="s">
        <v>410</v>
      </c>
      <c r="H133" s="13">
        <f>(840000)/1000*$H$5</f>
        <v>840</v>
      </c>
      <c r="I133" s="13">
        <f t="shared" ref="I133:I138" si="5">H133-(0)/1000*$H$5</f>
        <v>840</v>
      </c>
      <c r="J133" s="2" t="s">
        <v>409</v>
      </c>
      <c r="K133" s="3"/>
      <c r="L133" s="1" t="s">
        <v>412</v>
      </c>
    </row>
    <row r="134" spans="1:12" ht="36" x14ac:dyDescent="0.2">
      <c r="A134" s="17" t="s">
        <v>416</v>
      </c>
      <c r="B134" s="7" t="s">
        <v>413</v>
      </c>
      <c r="C134" s="164"/>
      <c r="D134" s="88" t="s">
        <v>425</v>
      </c>
      <c r="E134" s="27" t="s">
        <v>992</v>
      </c>
      <c r="F134" s="11" t="s">
        <v>12</v>
      </c>
      <c r="G134" s="11" t="s">
        <v>52</v>
      </c>
      <c r="H134" s="13">
        <f>(1150000)/1000*$H$5</f>
        <v>1150</v>
      </c>
      <c r="I134" s="13">
        <f t="shared" si="5"/>
        <v>1150</v>
      </c>
      <c r="J134" s="2" t="s">
        <v>414</v>
      </c>
      <c r="K134" s="3"/>
      <c r="L134" s="1" t="s">
        <v>425</v>
      </c>
    </row>
    <row r="135" spans="1:12" ht="36" x14ac:dyDescent="0.2">
      <c r="A135" s="38" t="s">
        <v>417</v>
      </c>
      <c r="B135" s="7" t="s">
        <v>415</v>
      </c>
      <c r="C135" s="164"/>
      <c r="D135" s="88"/>
      <c r="E135" s="27"/>
      <c r="F135" s="18"/>
      <c r="G135" s="18"/>
      <c r="H135" s="20"/>
      <c r="I135" s="20"/>
      <c r="J135" s="57"/>
      <c r="K135" s="14"/>
    </row>
    <row r="136" spans="1:12" ht="33.75" x14ac:dyDescent="0.2">
      <c r="A136" s="16" t="s">
        <v>418</v>
      </c>
      <c r="B136" s="30" t="s">
        <v>419</v>
      </c>
      <c r="C136" s="164"/>
      <c r="D136" s="88" t="s">
        <v>424</v>
      </c>
      <c r="E136" s="27" t="s">
        <v>422</v>
      </c>
      <c r="F136" s="19" t="s">
        <v>12</v>
      </c>
      <c r="G136" s="19" t="s">
        <v>52</v>
      </c>
      <c r="H136" s="21">
        <f>(1291000)/1000*$H$5</f>
        <v>1291</v>
      </c>
      <c r="I136" s="21">
        <f t="shared" si="5"/>
        <v>1291</v>
      </c>
      <c r="J136" s="45" t="s">
        <v>422</v>
      </c>
      <c r="K136" s="15"/>
      <c r="L136" s="1" t="s">
        <v>424</v>
      </c>
    </row>
    <row r="137" spans="1:12" ht="33.75" x14ac:dyDescent="0.2">
      <c r="A137" s="17" t="s">
        <v>421</v>
      </c>
      <c r="B137" s="36" t="s">
        <v>420</v>
      </c>
      <c r="C137" s="164"/>
      <c r="D137" s="88" t="s">
        <v>423</v>
      </c>
      <c r="E137" s="27" t="s">
        <v>422</v>
      </c>
      <c r="F137" s="12" t="s">
        <v>49</v>
      </c>
      <c r="G137" s="12" t="s">
        <v>52</v>
      </c>
      <c r="H137" s="13">
        <f>(1227945)/1000*$H$5</f>
        <v>1227.9449999999999</v>
      </c>
      <c r="I137" s="13">
        <f t="shared" si="5"/>
        <v>1227.9449999999999</v>
      </c>
      <c r="J137" s="58" t="s">
        <v>422</v>
      </c>
      <c r="K137" s="59"/>
      <c r="L137" s="1" t="s">
        <v>423</v>
      </c>
    </row>
    <row r="138" spans="1:12" ht="36" x14ac:dyDescent="0.2">
      <c r="A138" s="17" t="s">
        <v>434</v>
      </c>
      <c r="B138" s="7" t="s">
        <v>426</v>
      </c>
      <c r="C138" s="165"/>
      <c r="D138" s="94" t="s">
        <v>429</v>
      </c>
      <c r="E138" s="23" t="s">
        <v>428</v>
      </c>
      <c r="F138" s="11" t="s">
        <v>427</v>
      </c>
      <c r="G138" s="11" t="s">
        <v>5</v>
      </c>
      <c r="H138" s="13">
        <f>(550000)/1000*$H$5</f>
        <v>550</v>
      </c>
      <c r="I138" s="13">
        <f t="shared" si="5"/>
        <v>550</v>
      </c>
      <c r="J138" s="2" t="s">
        <v>428</v>
      </c>
      <c r="K138" s="3"/>
      <c r="L138" s="1" t="s">
        <v>429</v>
      </c>
    </row>
    <row r="139" spans="1:12" ht="228" x14ac:dyDescent="0.2">
      <c r="A139" s="17">
        <v>26</v>
      </c>
      <c r="B139" s="2" t="s">
        <v>804</v>
      </c>
      <c r="C139" s="163" t="s">
        <v>28</v>
      </c>
      <c r="D139" s="87" t="s">
        <v>994</v>
      </c>
      <c r="E139" s="26" t="s">
        <v>993</v>
      </c>
      <c r="F139" s="18" t="s">
        <v>14</v>
      </c>
      <c r="G139" s="18" t="s">
        <v>11</v>
      </c>
      <c r="H139" s="21">
        <f>(390000000)/1000*$H$5</f>
        <v>390000</v>
      </c>
      <c r="I139" s="13">
        <f>H139-(10473000+2569000+38773249+1655506+4134020+386559+17036387+15325570+15342207+3454876+1477757+74199+980000)/1000*$H$5</f>
        <v>278317.67</v>
      </c>
      <c r="J139" s="2" t="s">
        <v>805</v>
      </c>
      <c r="K139" s="9"/>
    </row>
    <row r="140" spans="1:12" ht="96" x14ac:dyDescent="0.2">
      <c r="A140" s="17" t="s">
        <v>435</v>
      </c>
      <c r="B140" s="7" t="s">
        <v>803</v>
      </c>
      <c r="C140" s="165"/>
      <c r="D140" s="98" t="s">
        <v>995</v>
      </c>
      <c r="E140" s="2" t="s">
        <v>422</v>
      </c>
      <c r="F140" s="11" t="s">
        <v>84</v>
      </c>
      <c r="G140" s="11" t="s">
        <v>7</v>
      </c>
      <c r="H140" s="60">
        <f>(13244584)/1000*$H$5</f>
        <v>13244.584000000001</v>
      </c>
      <c r="I140" s="13">
        <f>H140-(3944931+1927740)/1000*$H$5</f>
        <v>7371.9130000000005</v>
      </c>
      <c r="J140" s="2" t="s">
        <v>430</v>
      </c>
      <c r="K140" s="3"/>
    </row>
    <row r="141" spans="1:12" ht="108" x14ac:dyDescent="0.2">
      <c r="A141" s="17" t="s">
        <v>436</v>
      </c>
      <c r="B141" s="7" t="s">
        <v>432</v>
      </c>
      <c r="C141" s="52" t="s">
        <v>433</v>
      </c>
      <c r="D141" s="95" t="s">
        <v>997</v>
      </c>
      <c r="E141" s="52" t="s">
        <v>996</v>
      </c>
      <c r="F141" s="11" t="s">
        <v>84</v>
      </c>
      <c r="G141" s="11" t="s">
        <v>84</v>
      </c>
      <c r="H141" s="13">
        <f>(500000)/1000*$H$5</f>
        <v>500</v>
      </c>
      <c r="I141" s="13">
        <f>H141-(0)/1000*$H$5</f>
        <v>500</v>
      </c>
      <c r="J141" s="2" t="s">
        <v>431</v>
      </c>
      <c r="K141" s="3"/>
    </row>
    <row r="142" spans="1:12" ht="172.5" customHeight="1" x14ac:dyDescent="0.2">
      <c r="A142" s="17" t="s">
        <v>437</v>
      </c>
      <c r="B142" s="7" t="s">
        <v>765</v>
      </c>
      <c r="C142" s="52" t="s">
        <v>652</v>
      </c>
      <c r="D142" s="95" t="s">
        <v>587</v>
      </c>
      <c r="E142" s="52" t="s">
        <v>998</v>
      </c>
      <c r="F142" s="11" t="s">
        <v>14</v>
      </c>
      <c r="G142" s="11" t="s">
        <v>586</v>
      </c>
      <c r="H142" s="13">
        <f>(119096424)/1000*$H$5</f>
        <v>119096.424</v>
      </c>
      <c r="I142" s="13">
        <f>H142-(4720342+9389674+2380253+20611493+1300885+1430964+661059)/1000*$H$5</f>
        <v>78601.754000000001</v>
      </c>
      <c r="J142" s="2" t="s">
        <v>585</v>
      </c>
      <c r="K142" s="3"/>
      <c r="L142" s="1" t="s">
        <v>587</v>
      </c>
    </row>
    <row r="143" spans="1:12" ht="172.5" customHeight="1" x14ac:dyDescent="0.2">
      <c r="A143" s="17" t="s">
        <v>447</v>
      </c>
      <c r="B143" s="7" t="s">
        <v>625</v>
      </c>
      <c r="C143" s="52" t="s">
        <v>653</v>
      </c>
      <c r="D143" s="95" t="s">
        <v>626</v>
      </c>
      <c r="E143" s="52" t="s">
        <v>998</v>
      </c>
      <c r="F143" s="11" t="s">
        <v>95</v>
      </c>
      <c r="G143" s="11" t="s">
        <v>11</v>
      </c>
      <c r="H143" s="13">
        <f>(19671702+1204838+5361278)/1000*$H$5</f>
        <v>26237.817999999999</v>
      </c>
      <c r="I143" s="13">
        <f>H143-(1399023+56345+1515335)/1000*$H$5</f>
        <v>23267.114999999998</v>
      </c>
      <c r="J143" s="2" t="s">
        <v>627</v>
      </c>
      <c r="K143" s="3"/>
      <c r="L143" s="1" t="s">
        <v>626</v>
      </c>
    </row>
    <row r="144" spans="1:12" ht="39.75" customHeight="1" x14ac:dyDescent="0.2">
      <c r="A144" s="38" t="s">
        <v>450</v>
      </c>
      <c r="B144" s="7" t="s">
        <v>677</v>
      </c>
      <c r="C144" s="152" t="s">
        <v>675</v>
      </c>
      <c r="D144" s="91"/>
      <c r="E144" s="64"/>
      <c r="F144" s="18"/>
      <c r="G144" s="18"/>
      <c r="H144" s="20">
        <f>(0)/1000*$H$5</f>
        <v>0</v>
      </c>
      <c r="I144" s="20">
        <f>H144-(0)/1000*$H$5</f>
        <v>0</v>
      </c>
      <c r="J144" s="57"/>
      <c r="K144" s="14"/>
    </row>
    <row r="145" spans="1:12" ht="33.75" x14ac:dyDescent="0.2">
      <c r="A145" s="16" t="s">
        <v>454</v>
      </c>
      <c r="B145" s="30" t="s">
        <v>438</v>
      </c>
      <c r="C145" s="153"/>
      <c r="D145" s="89" t="s">
        <v>441</v>
      </c>
      <c r="E145" s="28" t="s">
        <v>498</v>
      </c>
      <c r="F145" s="19" t="s">
        <v>439</v>
      </c>
      <c r="G145" s="19" t="s">
        <v>126</v>
      </c>
      <c r="H145" s="21">
        <f>(7168312)/1000*$H$5</f>
        <v>7168.3119999999999</v>
      </c>
      <c r="I145" s="21">
        <f>H145-(803199)/1000*$H$5</f>
        <v>6365.1130000000003</v>
      </c>
      <c r="J145" s="45" t="s">
        <v>438</v>
      </c>
      <c r="K145" s="15"/>
      <c r="L145" s="1" t="s">
        <v>441</v>
      </c>
    </row>
    <row r="146" spans="1:12" ht="72" x14ac:dyDescent="0.2">
      <c r="A146" s="16" t="s">
        <v>455</v>
      </c>
      <c r="B146" s="30" t="s">
        <v>443</v>
      </c>
      <c r="C146" s="153"/>
      <c r="D146" s="89" t="s">
        <v>442</v>
      </c>
      <c r="E146" s="28" t="s">
        <v>498</v>
      </c>
      <c r="F146" s="19" t="s">
        <v>119</v>
      </c>
      <c r="G146" s="19" t="s">
        <v>295</v>
      </c>
      <c r="H146" s="21">
        <f>(14067218)/1000*$H$5</f>
        <v>14067.218000000001</v>
      </c>
      <c r="I146" s="21">
        <f>H146-(0)/1000*$H$5</f>
        <v>14067.218000000001</v>
      </c>
      <c r="J146" s="45" t="s">
        <v>446</v>
      </c>
      <c r="K146" s="15"/>
      <c r="L146" s="1" t="s">
        <v>442</v>
      </c>
    </row>
    <row r="147" spans="1:12" ht="72" x14ac:dyDescent="0.2">
      <c r="A147" s="17" t="s">
        <v>463</v>
      </c>
      <c r="B147" s="36" t="s">
        <v>444</v>
      </c>
      <c r="C147" s="153"/>
      <c r="D147" s="89" t="s">
        <v>440</v>
      </c>
      <c r="E147" s="28" t="s">
        <v>498</v>
      </c>
      <c r="F147" s="19" t="s">
        <v>8</v>
      </c>
      <c r="G147" s="19" t="s">
        <v>56</v>
      </c>
      <c r="H147" s="21">
        <f>(24083149)/1000*$H$5</f>
        <v>24083.149000000001</v>
      </c>
      <c r="I147" s="21">
        <f>H147-(0)/1000*$H$5</f>
        <v>24083.149000000001</v>
      </c>
      <c r="J147" s="45" t="s">
        <v>445</v>
      </c>
      <c r="K147" s="15"/>
      <c r="L147" s="1" t="s">
        <v>440</v>
      </c>
    </row>
    <row r="148" spans="1:12" ht="60" x14ac:dyDescent="0.2">
      <c r="A148" s="61" t="s">
        <v>543</v>
      </c>
      <c r="B148" s="4" t="s">
        <v>676</v>
      </c>
      <c r="C148" s="154"/>
      <c r="D148" s="90" t="s">
        <v>448</v>
      </c>
      <c r="E148" s="29" t="s">
        <v>467</v>
      </c>
      <c r="F148" s="11" t="s">
        <v>177</v>
      </c>
      <c r="G148" s="11" t="s">
        <v>48</v>
      </c>
      <c r="H148" s="60">
        <f>(24894319)/1000*$H$5</f>
        <v>24894.319</v>
      </c>
      <c r="I148" s="60">
        <f>H148-(1597047)/1000*$H$5</f>
        <v>23297.272000000001</v>
      </c>
      <c r="J148" s="2" t="s">
        <v>449</v>
      </c>
      <c r="K148" s="3"/>
      <c r="L148" s="1" t="s">
        <v>448</v>
      </c>
    </row>
    <row r="149" spans="1:12" ht="112.5" customHeight="1" x14ac:dyDescent="0.2">
      <c r="A149" s="17" t="s">
        <v>552</v>
      </c>
      <c r="B149" s="7" t="s">
        <v>676</v>
      </c>
      <c r="C149" s="29" t="s">
        <v>402</v>
      </c>
      <c r="D149" s="90" t="s">
        <v>1000</v>
      </c>
      <c r="E149" s="29" t="s">
        <v>999</v>
      </c>
      <c r="F149" s="11" t="s">
        <v>124</v>
      </c>
      <c r="G149" s="11" t="s">
        <v>54</v>
      </c>
      <c r="H149" s="13">
        <f>(1490000)/1000*$H$5</f>
        <v>1490</v>
      </c>
      <c r="I149" s="13">
        <f>H149-(0)/1000*$H$5</f>
        <v>1490</v>
      </c>
      <c r="J149" s="49" t="s">
        <v>556</v>
      </c>
      <c r="K149" s="3"/>
    </row>
    <row r="150" spans="1:12" ht="120" customHeight="1" x14ac:dyDescent="0.2">
      <c r="A150" s="17" t="s">
        <v>678</v>
      </c>
      <c r="B150" s="7" t="s">
        <v>547</v>
      </c>
      <c r="C150" s="152" t="s">
        <v>766</v>
      </c>
      <c r="D150" s="91" t="s">
        <v>551</v>
      </c>
      <c r="E150" s="64" t="s">
        <v>998</v>
      </c>
      <c r="F150" s="159" t="s">
        <v>6</v>
      </c>
      <c r="G150" s="159" t="s">
        <v>7</v>
      </c>
      <c r="H150" s="161">
        <f>(444005270)/1000*$H$5</f>
        <v>444005.27</v>
      </c>
      <c r="I150" s="161">
        <f>H150-(1802298+116204+5445957+4438015+332211+8285705+1361841+6213406+130743)/1000*$H$5</f>
        <v>415878.89</v>
      </c>
      <c r="J150" s="49" t="s">
        <v>26</v>
      </c>
      <c r="K150" s="3"/>
      <c r="L150" s="1" t="s">
        <v>551</v>
      </c>
    </row>
    <row r="151" spans="1:12" ht="114.75" customHeight="1" x14ac:dyDescent="0.2">
      <c r="A151" s="17" t="s">
        <v>679</v>
      </c>
      <c r="B151" s="7" t="s">
        <v>548</v>
      </c>
      <c r="C151" s="154"/>
      <c r="D151" s="90"/>
      <c r="E151" s="29"/>
      <c r="F151" s="160"/>
      <c r="G151" s="160"/>
      <c r="H151" s="162"/>
      <c r="I151" s="162"/>
      <c r="J151" s="49" t="s">
        <v>767</v>
      </c>
      <c r="K151" s="3"/>
    </row>
    <row r="152" spans="1:12" ht="108" x14ac:dyDescent="0.2">
      <c r="A152" s="17" t="s">
        <v>680</v>
      </c>
      <c r="B152" s="7" t="s">
        <v>1001</v>
      </c>
      <c r="C152" s="29" t="s">
        <v>769</v>
      </c>
      <c r="D152" s="90" t="s">
        <v>581</v>
      </c>
      <c r="E152" s="29" t="s">
        <v>371</v>
      </c>
      <c r="F152" s="12" t="s">
        <v>4</v>
      </c>
      <c r="G152" s="12" t="s">
        <v>24</v>
      </c>
      <c r="H152" s="13">
        <f>(37438795+4559067)/1000*$H$5</f>
        <v>41997.862000000001</v>
      </c>
      <c r="I152" s="13">
        <f>H152-(0)/1000*$H$5</f>
        <v>41997.862000000001</v>
      </c>
      <c r="J152" s="49" t="s">
        <v>681</v>
      </c>
      <c r="K152" s="3"/>
      <c r="L152" s="1" t="s">
        <v>581</v>
      </c>
    </row>
    <row r="153" spans="1:12" ht="102" customHeight="1" x14ac:dyDescent="0.2">
      <c r="A153" s="17" t="s">
        <v>682</v>
      </c>
      <c r="B153" s="7" t="s">
        <v>557</v>
      </c>
      <c r="C153" s="152" t="s">
        <v>770</v>
      </c>
      <c r="D153" s="91" t="s">
        <v>562</v>
      </c>
      <c r="E153" s="64" t="s">
        <v>558</v>
      </c>
      <c r="F153" s="11" t="s">
        <v>46</v>
      </c>
      <c r="G153" s="11" t="s">
        <v>52</v>
      </c>
      <c r="H153" s="13">
        <f>(12510963+537851)/1000*$H$5</f>
        <v>13048.814</v>
      </c>
      <c r="I153" s="13">
        <f>H153-(0)/1000*$H$5</f>
        <v>13048.814</v>
      </c>
      <c r="J153" s="49" t="s">
        <v>558</v>
      </c>
      <c r="K153" s="3"/>
      <c r="L153" s="1" t="s">
        <v>562</v>
      </c>
    </row>
    <row r="154" spans="1:12" ht="60" x14ac:dyDescent="0.2">
      <c r="A154" s="17" t="s">
        <v>683</v>
      </c>
      <c r="B154" s="7" t="s">
        <v>579</v>
      </c>
      <c r="C154" s="154"/>
      <c r="D154" s="90" t="s">
        <v>580</v>
      </c>
      <c r="E154" s="29" t="s">
        <v>371</v>
      </c>
      <c r="F154" s="11" t="s">
        <v>488</v>
      </c>
      <c r="G154" s="11" t="s">
        <v>7</v>
      </c>
      <c r="H154" s="13">
        <f>(2281959)/1000*$H$5</f>
        <v>2281.9589999999998</v>
      </c>
      <c r="I154" s="13">
        <f>H154-(0)/1000*$H$5</f>
        <v>2281.9589999999998</v>
      </c>
      <c r="J154" s="49" t="s">
        <v>578</v>
      </c>
      <c r="K154" s="3"/>
      <c r="L154" s="1" t="s">
        <v>580</v>
      </c>
    </row>
    <row r="155" spans="1:12" ht="48" x14ac:dyDescent="0.2">
      <c r="A155" s="17" t="s">
        <v>684</v>
      </c>
      <c r="B155" s="7" t="s">
        <v>771</v>
      </c>
      <c r="C155" s="29" t="s">
        <v>632</v>
      </c>
      <c r="D155" s="90" t="s">
        <v>634</v>
      </c>
      <c r="E155" s="29" t="s">
        <v>633</v>
      </c>
      <c r="F155" s="11" t="s">
        <v>101</v>
      </c>
      <c r="G155" s="11" t="s">
        <v>103</v>
      </c>
      <c r="H155" s="13">
        <f>(7649009)/1000*$H$5</f>
        <v>7649.009</v>
      </c>
      <c r="I155" s="13">
        <f>H155-(0)/1000*$H$5</f>
        <v>7649.009</v>
      </c>
      <c r="J155" s="49" t="s">
        <v>633</v>
      </c>
      <c r="K155" s="3"/>
      <c r="L155" s="1" t="s">
        <v>634</v>
      </c>
    </row>
    <row r="156" spans="1:12" ht="120" x14ac:dyDescent="0.2">
      <c r="A156" s="61" t="s">
        <v>685</v>
      </c>
      <c r="B156" s="4" t="s">
        <v>559</v>
      </c>
      <c r="C156" s="29" t="s">
        <v>772</v>
      </c>
      <c r="D156" s="90" t="s">
        <v>566</v>
      </c>
      <c r="E156" s="29" t="s">
        <v>1002</v>
      </c>
      <c r="F156" s="11" t="s">
        <v>427</v>
      </c>
      <c r="G156" s="11" t="s">
        <v>7</v>
      </c>
      <c r="H156" s="13">
        <f>(3700000)/1000*$H$5</f>
        <v>3700</v>
      </c>
      <c r="I156" s="13">
        <f>H156-(1300000)/1000*$H$5</f>
        <v>2400</v>
      </c>
      <c r="J156" s="49" t="s">
        <v>570</v>
      </c>
      <c r="K156" s="3"/>
      <c r="L156" s="1" t="s">
        <v>566</v>
      </c>
    </row>
    <row r="157" spans="1:12" ht="140.25" customHeight="1" x14ac:dyDescent="0.2">
      <c r="A157" s="17" t="s">
        <v>688</v>
      </c>
      <c r="B157" s="7" t="s">
        <v>559</v>
      </c>
      <c r="C157" s="29" t="s">
        <v>773</v>
      </c>
      <c r="D157" s="90" t="s">
        <v>561</v>
      </c>
      <c r="E157" s="29" t="s">
        <v>1003</v>
      </c>
      <c r="F157" s="11" t="s">
        <v>54</v>
      </c>
      <c r="G157" s="11" t="s">
        <v>52</v>
      </c>
      <c r="H157" s="13">
        <f>(1555540)/1000*$H$5</f>
        <v>1555.54</v>
      </c>
      <c r="I157" s="13">
        <f>H157-(0)/1000*$H$5</f>
        <v>1555.54</v>
      </c>
      <c r="J157" s="49" t="s">
        <v>560</v>
      </c>
      <c r="K157" s="3"/>
      <c r="L157" s="1" t="s">
        <v>561</v>
      </c>
    </row>
    <row r="158" spans="1:12" ht="168" x14ac:dyDescent="0.2">
      <c r="A158" s="17" t="s">
        <v>689</v>
      </c>
      <c r="B158" s="7" t="s">
        <v>364</v>
      </c>
      <c r="C158" s="29" t="s">
        <v>687</v>
      </c>
      <c r="D158" s="90" t="s">
        <v>592</v>
      </c>
      <c r="E158" s="29" t="s">
        <v>1004</v>
      </c>
      <c r="F158" s="11" t="s">
        <v>124</v>
      </c>
      <c r="G158" s="11" t="s">
        <v>7</v>
      </c>
      <c r="H158" s="13">
        <v>35340.406999999999</v>
      </c>
      <c r="I158" s="13">
        <v>35340.406999999999</v>
      </c>
      <c r="J158" s="49" t="s">
        <v>774</v>
      </c>
      <c r="K158" s="3"/>
      <c r="L158" s="1" t="s">
        <v>592</v>
      </c>
    </row>
    <row r="159" spans="1:12" ht="228" x14ac:dyDescent="0.2">
      <c r="A159" s="17" t="s">
        <v>690</v>
      </c>
      <c r="B159" s="7" t="s">
        <v>642</v>
      </c>
      <c r="C159" s="29" t="s">
        <v>654</v>
      </c>
      <c r="D159" s="90" t="s">
        <v>644</v>
      </c>
      <c r="E159" s="29" t="s">
        <v>1005</v>
      </c>
      <c r="F159" s="11" t="s">
        <v>107</v>
      </c>
      <c r="G159" s="11" t="s">
        <v>63</v>
      </c>
      <c r="H159" s="13">
        <f>(21476783)/1000*$H$5</f>
        <v>21476.782999999999</v>
      </c>
      <c r="I159" s="13">
        <f>H159-(0)/1000*$H$5</f>
        <v>21476.782999999999</v>
      </c>
      <c r="J159" s="49" t="s">
        <v>643</v>
      </c>
      <c r="K159" s="3"/>
      <c r="L159" s="1" t="s">
        <v>644</v>
      </c>
    </row>
    <row r="160" spans="1:12" ht="174" customHeight="1" x14ac:dyDescent="0.2">
      <c r="A160" s="17" t="s">
        <v>691</v>
      </c>
      <c r="B160" s="7" t="s">
        <v>645</v>
      </c>
      <c r="C160" s="29" t="s">
        <v>692</v>
      </c>
      <c r="D160" s="90" t="s">
        <v>1006</v>
      </c>
      <c r="E160" s="29" t="s">
        <v>371</v>
      </c>
      <c r="F160" s="11" t="s">
        <v>16</v>
      </c>
      <c r="G160" s="11" t="s">
        <v>63</v>
      </c>
      <c r="H160" s="13">
        <f>(89000000)/1000*$H$5</f>
        <v>89000</v>
      </c>
      <c r="I160" s="13">
        <f>H160-(0)/1000*$H$5</f>
        <v>89000</v>
      </c>
      <c r="J160" s="49" t="s">
        <v>646</v>
      </c>
      <c r="K160" s="3"/>
    </row>
    <row r="161" spans="1:13" ht="120" x14ac:dyDescent="0.2">
      <c r="A161" s="17" t="s">
        <v>693</v>
      </c>
      <c r="B161" s="7" t="s">
        <v>582</v>
      </c>
      <c r="C161" s="29" t="s">
        <v>655</v>
      </c>
      <c r="D161" s="90" t="s">
        <v>583</v>
      </c>
      <c r="E161" s="29" t="s">
        <v>584</v>
      </c>
      <c r="F161" s="11" t="s">
        <v>14</v>
      </c>
      <c r="G161" s="11" t="s">
        <v>91</v>
      </c>
      <c r="H161" s="13">
        <f>(2201287+41913)/1000*$H$5</f>
        <v>2243.1999999999998</v>
      </c>
      <c r="I161" s="13">
        <f>H161-(0)/1000*$H$5</f>
        <v>2243.1999999999998</v>
      </c>
      <c r="J161" s="49" t="s">
        <v>584</v>
      </c>
      <c r="K161" s="3"/>
      <c r="L161" s="1" t="s">
        <v>583</v>
      </c>
    </row>
    <row r="162" spans="1:13" ht="88.5" customHeight="1" x14ac:dyDescent="0.2">
      <c r="A162" s="17" t="s">
        <v>694</v>
      </c>
      <c r="B162" s="7" t="s">
        <v>590</v>
      </c>
      <c r="C162" s="152" t="s">
        <v>775</v>
      </c>
      <c r="D162" s="91" t="s">
        <v>588</v>
      </c>
      <c r="E162" s="64" t="s">
        <v>1007</v>
      </c>
      <c r="F162" s="11" t="s">
        <v>35</v>
      </c>
      <c r="G162" s="11" t="s">
        <v>230</v>
      </c>
      <c r="H162" s="13">
        <f>(3829000-217990)/1000*$H$5</f>
        <v>3611.01</v>
      </c>
      <c r="I162" s="13">
        <f>H162-(262712)/1000*$H$5</f>
        <v>3348.2980000000002</v>
      </c>
      <c r="J162" s="49" t="s">
        <v>776</v>
      </c>
      <c r="K162" s="3"/>
      <c r="L162" s="1" t="s">
        <v>588</v>
      </c>
    </row>
    <row r="163" spans="1:13" ht="82.5" customHeight="1" x14ac:dyDescent="0.2">
      <c r="A163" s="17" t="s">
        <v>695</v>
      </c>
      <c r="B163" s="7" t="s">
        <v>777</v>
      </c>
      <c r="C163" s="154"/>
      <c r="D163" s="90" t="s">
        <v>1008</v>
      </c>
      <c r="E163" s="29" t="s">
        <v>1007</v>
      </c>
      <c r="F163" s="11" t="s">
        <v>7</v>
      </c>
      <c r="G163" s="62" t="s">
        <v>91</v>
      </c>
      <c r="H163" s="63">
        <f>(4794400)/1000*$H$5</f>
        <v>4794.3999999999996</v>
      </c>
      <c r="I163" s="63">
        <f>H163-(0)/1000*$H$5</f>
        <v>4794.3999999999996</v>
      </c>
      <c r="J163" s="49" t="s">
        <v>591</v>
      </c>
      <c r="K163" s="3"/>
      <c r="L163" s="1" t="s">
        <v>589</v>
      </c>
    </row>
    <row r="164" spans="1:13" ht="67.5" customHeight="1" x14ac:dyDescent="0.2">
      <c r="A164" s="17" t="s">
        <v>696</v>
      </c>
      <c r="B164" s="7" t="s">
        <v>778</v>
      </c>
      <c r="C164" s="152" t="s">
        <v>593</v>
      </c>
      <c r="D164" s="91" t="s">
        <v>596</v>
      </c>
      <c r="E164" s="64" t="s">
        <v>595</v>
      </c>
      <c r="F164" s="18" t="s">
        <v>91</v>
      </c>
      <c r="G164" s="18" t="s">
        <v>11</v>
      </c>
      <c r="H164" s="21">
        <f>(643438996)/1000*$H$5</f>
        <v>643438.99600000004</v>
      </c>
      <c r="I164" s="13">
        <f>H164-(323242749+25894212+30130843+582706+506567+6431012+9466678+2847445+3299873+1773039+730584+2798678+4434391+900000+2970163)/1000*$H$5</f>
        <v>227430.05600000004</v>
      </c>
      <c r="J164" s="2" t="s">
        <v>595</v>
      </c>
      <c r="K164" s="3"/>
      <c r="L164" s="1" t="s">
        <v>596</v>
      </c>
    </row>
    <row r="165" spans="1:13" ht="93" customHeight="1" x14ac:dyDescent="0.2">
      <c r="A165" s="17" t="s">
        <v>697</v>
      </c>
      <c r="B165" s="7" t="s">
        <v>594</v>
      </c>
      <c r="C165" s="153"/>
      <c r="D165" s="95" t="s">
        <v>597</v>
      </c>
      <c r="E165" s="52" t="s">
        <v>1009</v>
      </c>
      <c r="F165" s="11" t="s">
        <v>211</v>
      </c>
      <c r="G165" s="11" t="s">
        <v>11</v>
      </c>
      <c r="H165" s="60">
        <f>(85900080)/1000*$H$5</f>
        <v>85900.08</v>
      </c>
      <c r="I165" s="13">
        <f>H165-(2220688+614603+606803)/1000*$H$5</f>
        <v>82457.986000000004</v>
      </c>
      <c r="J165" s="2" t="s">
        <v>779</v>
      </c>
      <c r="K165" s="3"/>
      <c r="L165" s="1" t="s">
        <v>597</v>
      </c>
    </row>
    <row r="166" spans="1:13" ht="168" x14ac:dyDescent="0.2">
      <c r="A166" s="17" t="s">
        <v>698</v>
      </c>
      <c r="B166" s="7" t="s">
        <v>780</v>
      </c>
      <c r="C166" s="154"/>
      <c r="D166" s="90" t="s">
        <v>1010</v>
      </c>
      <c r="E166" s="52" t="s">
        <v>998</v>
      </c>
      <c r="F166" s="12" t="s">
        <v>11</v>
      </c>
      <c r="G166" s="12" t="s">
        <v>598</v>
      </c>
      <c r="H166" s="13">
        <f>(142758713)/1000*$H$5</f>
        <v>142758.71299999999</v>
      </c>
      <c r="I166" s="13">
        <f>H166-(3974529+2178400+550000+3601754+7356265+501298)/1000*$H$5</f>
        <v>124596.46699999999</v>
      </c>
      <c r="J166" s="23" t="s">
        <v>781</v>
      </c>
      <c r="K166" s="3"/>
    </row>
    <row r="167" spans="1:13" ht="69" customHeight="1" x14ac:dyDescent="0.2">
      <c r="A167" s="17" t="s">
        <v>700</v>
      </c>
      <c r="B167" s="7" t="s">
        <v>702</v>
      </c>
      <c r="C167" s="29" t="s">
        <v>701</v>
      </c>
      <c r="D167" s="90" t="s">
        <v>568</v>
      </c>
      <c r="E167" s="29" t="s">
        <v>1011</v>
      </c>
      <c r="F167" s="11" t="s">
        <v>569</v>
      </c>
      <c r="G167" s="11" t="s">
        <v>91</v>
      </c>
      <c r="H167" s="13">
        <f>(18977634)/1000*$H$5</f>
        <v>18977.633999999998</v>
      </c>
      <c r="I167" s="13">
        <f>H167-(9713106)/1000*$H$5</f>
        <v>9264.5279999999984</v>
      </c>
      <c r="J167" s="29" t="s">
        <v>567</v>
      </c>
      <c r="K167" s="3"/>
      <c r="L167" s="1" t="s">
        <v>568</v>
      </c>
    </row>
    <row r="168" spans="1:13" ht="72" x14ac:dyDescent="0.2">
      <c r="A168" s="17" t="s">
        <v>704</v>
      </c>
      <c r="B168" s="7" t="s">
        <v>782</v>
      </c>
      <c r="C168" s="29" t="s">
        <v>703</v>
      </c>
      <c r="D168" s="90" t="s">
        <v>614</v>
      </c>
      <c r="E168" s="29" t="s">
        <v>1012</v>
      </c>
      <c r="F168" s="11" t="s">
        <v>95</v>
      </c>
      <c r="G168" s="11" t="s">
        <v>104</v>
      </c>
      <c r="H168" s="13">
        <f>(10466390)/1000*$H$5</f>
        <v>10466.39</v>
      </c>
      <c r="I168" s="13">
        <f>H168-(0)/1000*$H$5</f>
        <v>10466.39</v>
      </c>
      <c r="J168" s="49" t="s">
        <v>615</v>
      </c>
      <c r="K168" s="3"/>
      <c r="L168" s="1" t="s">
        <v>614</v>
      </c>
    </row>
    <row r="169" spans="1:13" ht="96" x14ac:dyDescent="0.2">
      <c r="A169" s="61" t="s">
        <v>705</v>
      </c>
      <c r="B169" s="4" t="s">
        <v>783</v>
      </c>
      <c r="C169" s="52" t="s">
        <v>629</v>
      </c>
      <c r="D169" s="95" t="s">
        <v>1014</v>
      </c>
      <c r="E169" s="52" t="s">
        <v>1013</v>
      </c>
      <c r="F169" s="11" t="s">
        <v>95</v>
      </c>
      <c r="G169" s="11" t="s">
        <v>21</v>
      </c>
      <c r="H169" s="60">
        <f>(19971733.7)/1000*$H$5</f>
        <v>19971.733700000001</v>
      </c>
      <c r="I169" s="60">
        <f>H169-(0)/1000*$H$5</f>
        <v>19971.733700000001</v>
      </c>
      <c r="J169" s="49" t="s">
        <v>631</v>
      </c>
      <c r="K169" s="3"/>
      <c r="L169" s="50" t="s">
        <v>630</v>
      </c>
      <c r="M169" s="1">
        <v>19971733.699999999</v>
      </c>
    </row>
    <row r="170" spans="1:13" ht="60" customHeight="1" x14ac:dyDescent="0.2">
      <c r="A170" s="16" t="s">
        <v>706</v>
      </c>
      <c r="B170" s="7" t="s">
        <v>784</v>
      </c>
      <c r="C170" s="152" t="s">
        <v>571</v>
      </c>
      <c r="D170" s="89"/>
      <c r="E170" s="28"/>
      <c r="F170" s="19"/>
      <c r="G170" s="19"/>
      <c r="H170" s="21"/>
      <c r="I170" s="21"/>
      <c r="J170" s="45"/>
      <c r="K170" s="15"/>
    </row>
    <row r="171" spans="1:13" ht="38.25" customHeight="1" x14ac:dyDescent="0.2">
      <c r="A171" s="16" t="s">
        <v>707</v>
      </c>
      <c r="B171" s="30" t="s">
        <v>785</v>
      </c>
      <c r="C171" s="153"/>
      <c r="D171" s="89" t="s">
        <v>573</v>
      </c>
      <c r="E171" s="28" t="s">
        <v>1015</v>
      </c>
      <c r="F171" s="19" t="s">
        <v>49</v>
      </c>
      <c r="G171" s="19" t="s">
        <v>7</v>
      </c>
      <c r="H171" s="21">
        <f>(7958431)/1000*$H$5</f>
        <v>7958.4309999999996</v>
      </c>
      <c r="I171" s="21">
        <f>H171-(0)/1000*$H$5</f>
        <v>7958.4309999999996</v>
      </c>
      <c r="J171" s="45" t="s">
        <v>572</v>
      </c>
      <c r="K171" s="15"/>
      <c r="L171" s="1" t="s">
        <v>573</v>
      </c>
    </row>
    <row r="172" spans="1:13" ht="36" x14ac:dyDescent="0.2">
      <c r="A172" s="16" t="s">
        <v>708</v>
      </c>
      <c r="B172" s="30" t="s">
        <v>574</v>
      </c>
      <c r="C172" s="153"/>
      <c r="D172" s="89" t="s">
        <v>575</v>
      </c>
      <c r="E172" s="28" t="s">
        <v>1016</v>
      </c>
      <c r="F172" s="19" t="s">
        <v>52</v>
      </c>
      <c r="G172" s="19" t="s">
        <v>63</v>
      </c>
      <c r="H172" s="21">
        <f>(201397276)/1000*$H$5</f>
        <v>201397.27600000001</v>
      </c>
      <c r="I172" s="21">
        <f>H172-(2563200+6523166+2974576+382255)/1000*$H$5</f>
        <v>188954.07900000003</v>
      </c>
      <c r="J172" s="45" t="s">
        <v>1017</v>
      </c>
      <c r="K172" s="15"/>
      <c r="L172" s="1" t="s">
        <v>575</v>
      </c>
    </row>
    <row r="173" spans="1:13" ht="36" x14ac:dyDescent="0.2">
      <c r="A173" s="16" t="s">
        <v>709</v>
      </c>
      <c r="B173" s="30" t="s">
        <v>576</v>
      </c>
      <c r="C173" s="153"/>
      <c r="D173" s="89" t="s">
        <v>577</v>
      </c>
      <c r="E173" s="28" t="s">
        <v>1028</v>
      </c>
      <c r="F173" s="19" t="s">
        <v>488</v>
      </c>
      <c r="G173" s="19" t="s">
        <v>19</v>
      </c>
      <c r="H173" s="21">
        <f>(17518524)/1000*$H$5</f>
        <v>17518.524000000001</v>
      </c>
      <c r="I173" s="21">
        <f>H173-(0)/1000*$H$5</f>
        <v>17518.524000000001</v>
      </c>
      <c r="J173" s="45"/>
      <c r="K173" s="15"/>
      <c r="L173" s="1" t="s">
        <v>577</v>
      </c>
    </row>
    <row r="174" spans="1:13" ht="42" customHeight="1" x14ac:dyDescent="0.2">
      <c r="A174" s="16" t="s">
        <v>710</v>
      </c>
      <c r="B174" s="30" t="s">
        <v>599</v>
      </c>
      <c r="C174" s="153"/>
      <c r="D174" s="89" t="s">
        <v>603</v>
      </c>
      <c r="E174" s="28" t="s">
        <v>716</v>
      </c>
      <c r="F174" s="19" t="s">
        <v>7</v>
      </c>
      <c r="G174" s="19" t="s">
        <v>11</v>
      </c>
      <c r="H174" s="21">
        <f>(43708282)/1000*$H$5</f>
        <v>43708.281999999999</v>
      </c>
      <c r="I174" s="21">
        <f>H174-(0)/1000*$H$5</f>
        <v>43708.281999999999</v>
      </c>
      <c r="J174" s="45" t="s">
        <v>716</v>
      </c>
      <c r="K174" s="15"/>
      <c r="L174" s="1" t="s">
        <v>603</v>
      </c>
      <c r="M174" s="1">
        <v>43708282</v>
      </c>
    </row>
    <row r="175" spans="1:13" ht="38.25" customHeight="1" x14ac:dyDescent="0.2">
      <c r="A175" s="16" t="s">
        <v>711</v>
      </c>
      <c r="B175" s="30" t="s">
        <v>600</v>
      </c>
      <c r="C175" s="153"/>
      <c r="D175" s="89" t="s">
        <v>602</v>
      </c>
      <c r="E175" s="28" t="s">
        <v>1029</v>
      </c>
      <c r="F175" s="19" t="s">
        <v>86</v>
      </c>
      <c r="G175" s="19" t="s">
        <v>511</v>
      </c>
      <c r="H175" s="21">
        <f>(6500000)/1000*$H$5</f>
        <v>6500</v>
      </c>
      <c r="I175" s="21">
        <f>H175-(0)/1000*$H$5</f>
        <v>6500</v>
      </c>
      <c r="J175" s="45" t="s">
        <v>601</v>
      </c>
      <c r="K175" s="15"/>
      <c r="L175" s="1" t="s">
        <v>602</v>
      </c>
    </row>
    <row r="176" spans="1:13" ht="48" x14ac:dyDescent="0.2">
      <c r="A176" s="16" t="s">
        <v>712</v>
      </c>
      <c r="B176" s="30" t="s">
        <v>604</v>
      </c>
      <c r="C176" s="153"/>
      <c r="D176" s="89" t="s">
        <v>605</v>
      </c>
      <c r="E176" s="28" t="s">
        <v>1030</v>
      </c>
      <c r="F176" s="19" t="s">
        <v>137</v>
      </c>
      <c r="G176" s="19" t="s">
        <v>15</v>
      </c>
      <c r="H176" s="21">
        <f>(35378118)/1000*$H$5</f>
        <v>35378.118000000002</v>
      </c>
      <c r="I176" s="21">
        <f>H176-(3938389+901930+3555281+3476986+654073)/1000*$H$5</f>
        <v>22851.459000000003</v>
      </c>
      <c r="J176" s="45" t="s">
        <v>717</v>
      </c>
      <c r="K176" s="15"/>
      <c r="L176" s="1" t="s">
        <v>605</v>
      </c>
    </row>
    <row r="177" spans="1:12" ht="36" x14ac:dyDescent="0.2">
      <c r="A177" s="16" t="s">
        <v>713</v>
      </c>
      <c r="B177" s="30" t="s">
        <v>607</v>
      </c>
      <c r="C177" s="153"/>
      <c r="D177" s="89" t="s">
        <v>608</v>
      </c>
      <c r="E177" s="28" t="s">
        <v>718</v>
      </c>
      <c r="F177" s="19" t="s">
        <v>137</v>
      </c>
      <c r="G177" s="19" t="s">
        <v>606</v>
      </c>
      <c r="H177" s="21">
        <f>(33543354)/1000*$H$5</f>
        <v>33543.353999999999</v>
      </c>
      <c r="I177" s="21">
        <f>H177-(4632327+4377223+2736212)/1000*$H$5</f>
        <v>21797.591999999997</v>
      </c>
      <c r="J177" s="45" t="s">
        <v>718</v>
      </c>
      <c r="K177" s="15"/>
      <c r="L177" s="1" t="s">
        <v>608</v>
      </c>
    </row>
    <row r="178" spans="1:12" ht="37.5" customHeight="1" x14ac:dyDescent="0.2">
      <c r="A178" s="16" t="s">
        <v>714</v>
      </c>
      <c r="B178" s="30" t="s">
        <v>607</v>
      </c>
      <c r="C178" s="153"/>
      <c r="D178" s="89" t="s">
        <v>609</v>
      </c>
      <c r="E178" s="28" t="s">
        <v>1031</v>
      </c>
      <c r="F178" s="19" t="s">
        <v>137</v>
      </c>
      <c r="G178" s="19" t="s">
        <v>610</v>
      </c>
      <c r="H178" s="21">
        <f>(20995727)/1000*$H$5</f>
        <v>20995.726999999999</v>
      </c>
      <c r="I178" s="21">
        <f>H178-(11424321)/1000*$H$5</f>
        <v>9571.405999999999</v>
      </c>
      <c r="J178" s="45" t="s">
        <v>719</v>
      </c>
      <c r="K178" s="15"/>
      <c r="L178" s="1" t="s">
        <v>609</v>
      </c>
    </row>
    <row r="179" spans="1:12" ht="56.25" customHeight="1" x14ac:dyDescent="0.2">
      <c r="A179" s="17" t="s">
        <v>715</v>
      </c>
      <c r="B179" s="30" t="s">
        <v>611</v>
      </c>
      <c r="C179" s="154"/>
      <c r="D179" s="89" t="s">
        <v>612</v>
      </c>
      <c r="E179" s="28" t="s">
        <v>720</v>
      </c>
      <c r="F179" s="19" t="s">
        <v>95</v>
      </c>
      <c r="G179" s="19" t="s">
        <v>613</v>
      </c>
      <c r="H179" s="21">
        <f>(5000000)/1000*$H$5</f>
        <v>5000</v>
      </c>
      <c r="I179" s="21">
        <f>H179-(1932000)/1000*$H$5</f>
        <v>3068</v>
      </c>
      <c r="J179" s="45" t="s">
        <v>720</v>
      </c>
      <c r="K179" s="15"/>
      <c r="L179" s="1" t="s">
        <v>612</v>
      </c>
    </row>
    <row r="180" spans="1:12" ht="36.75" customHeight="1" x14ac:dyDescent="0.2">
      <c r="A180" s="16" t="s">
        <v>721</v>
      </c>
      <c r="B180" s="7" t="s">
        <v>787</v>
      </c>
      <c r="C180" s="152" t="s">
        <v>789</v>
      </c>
      <c r="D180" s="91"/>
      <c r="E180" s="64"/>
      <c r="F180" s="18"/>
      <c r="G180" s="18"/>
      <c r="H180" s="20">
        <f>(0)/1000*$H$5</f>
        <v>0</v>
      </c>
      <c r="I180" s="20">
        <f>H180-(0)/1000*$H$5</f>
        <v>0</v>
      </c>
      <c r="J180" s="26"/>
      <c r="K180" s="34"/>
    </row>
    <row r="181" spans="1:12" ht="45" x14ac:dyDescent="0.2">
      <c r="A181" s="16" t="s">
        <v>722</v>
      </c>
      <c r="B181" s="30" t="s">
        <v>788</v>
      </c>
      <c r="C181" s="153"/>
      <c r="D181" s="89" t="s">
        <v>452</v>
      </c>
      <c r="E181" s="28" t="s">
        <v>451</v>
      </c>
      <c r="F181" s="19" t="s">
        <v>176</v>
      </c>
      <c r="G181" s="19" t="s">
        <v>48</v>
      </c>
      <c r="H181" s="21">
        <f>(6900000+4477636)/1000*$H$5</f>
        <v>11377.636</v>
      </c>
      <c r="I181" s="21">
        <f t="shared" ref="I181:I195" si="6">H181-(0)/1000*$H$5</f>
        <v>11377.636</v>
      </c>
      <c r="J181" s="27" t="s">
        <v>451</v>
      </c>
      <c r="K181" s="33"/>
      <c r="L181" s="47" t="s">
        <v>452</v>
      </c>
    </row>
    <row r="182" spans="1:12" ht="54.75" customHeight="1" x14ac:dyDescent="0.2">
      <c r="A182" s="16" t="s">
        <v>723</v>
      </c>
      <c r="B182" s="30" t="s">
        <v>453</v>
      </c>
      <c r="C182" s="153"/>
      <c r="D182" s="89" t="s">
        <v>456</v>
      </c>
      <c r="E182" s="28" t="s">
        <v>498</v>
      </c>
      <c r="F182" s="19" t="s">
        <v>176</v>
      </c>
      <c r="G182" s="19" t="s">
        <v>181</v>
      </c>
      <c r="H182" s="21">
        <f>(11864407)/1000*$H$5</f>
        <v>11864.406999999999</v>
      </c>
      <c r="I182" s="21">
        <f t="shared" si="6"/>
        <v>11864.406999999999</v>
      </c>
      <c r="J182" s="27" t="s">
        <v>538</v>
      </c>
      <c r="K182" s="33"/>
      <c r="L182" s="1" t="s">
        <v>456</v>
      </c>
    </row>
    <row r="183" spans="1:12" ht="36" x14ac:dyDescent="0.2">
      <c r="A183" s="16" t="s">
        <v>724</v>
      </c>
      <c r="B183" s="30" t="s">
        <v>457</v>
      </c>
      <c r="C183" s="153"/>
      <c r="D183" s="89" t="s">
        <v>460</v>
      </c>
      <c r="E183" s="28" t="s">
        <v>466</v>
      </c>
      <c r="F183" s="19" t="s">
        <v>295</v>
      </c>
      <c r="G183" s="24" t="s">
        <v>48</v>
      </c>
      <c r="H183" s="21">
        <f>(2633979.11)/1000*$H$5</f>
        <v>2633.9791099999998</v>
      </c>
      <c r="I183" s="21">
        <f t="shared" si="6"/>
        <v>2633.9791099999998</v>
      </c>
      <c r="J183" s="27" t="s">
        <v>466</v>
      </c>
      <c r="K183" s="33"/>
      <c r="L183" s="1" t="s">
        <v>460</v>
      </c>
    </row>
    <row r="184" spans="1:12" ht="36" x14ac:dyDescent="0.2">
      <c r="A184" s="16" t="s">
        <v>725</v>
      </c>
      <c r="B184" s="30" t="s">
        <v>458</v>
      </c>
      <c r="C184" s="153"/>
      <c r="D184" s="89" t="s">
        <v>459</v>
      </c>
      <c r="E184" s="28" t="s">
        <v>539</v>
      </c>
      <c r="F184" s="19" t="s">
        <v>410</v>
      </c>
      <c r="G184" s="24" t="s">
        <v>13</v>
      </c>
      <c r="H184" s="21">
        <f>(2058211.12)/1000*$H$5</f>
        <v>2058.2111199999999</v>
      </c>
      <c r="I184" s="21">
        <f t="shared" si="6"/>
        <v>2058.2111199999999</v>
      </c>
      <c r="J184" s="27" t="s">
        <v>539</v>
      </c>
      <c r="K184" s="33"/>
      <c r="L184" s="1" t="s">
        <v>459</v>
      </c>
    </row>
    <row r="185" spans="1:12" ht="48" x14ac:dyDescent="0.2">
      <c r="A185" s="16" t="s">
        <v>726</v>
      </c>
      <c r="B185" s="30" t="s">
        <v>461</v>
      </c>
      <c r="C185" s="153"/>
      <c r="D185" s="89" t="s">
        <v>465</v>
      </c>
      <c r="E185" s="28" t="s">
        <v>462</v>
      </c>
      <c r="F185" s="19" t="s">
        <v>126</v>
      </c>
      <c r="G185" s="24" t="s">
        <v>410</v>
      </c>
      <c r="H185" s="21">
        <f>(2038983)/1000*$H$5</f>
        <v>2038.9829999999999</v>
      </c>
      <c r="I185" s="21">
        <f t="shared" si="6"/>
        <v>2038.9829999999999</v>
      </c>
      <c r="J185" s="27" t="s">
        <v>462</v>
      </c>
      <c r="K185" s="33"/>
      <c r="L185" s="1" t="s">
        <v>465</v>
      </c>
    </row>
    <row r="186" spans="1:12" ht="36" x14ac:dyDescent="0.2">
      <c r="A186" s="16" t="s">
        <v>727</v>
      </c>
      <c r="B186" s="30" t="s">
        <v>464</v>
      </c>
      <c r="C186" s="153"/>
      <c r="D186" s="89" t="s">
        <v>468</v>
      </c>
      <c r="E186" s="28" t="s">
        <v>467</v>
      </c>
      <c r="F186" s="19" t="s">
        <v>8</v>
      </c>
      <c r="G186" s="24" t="s">
        <v>14</v>
      </c>
      <c r="H186" s="21">
        <f>(130768063)/1000*$H$5</f>
        <v>130768.06299999999</v>
      </c>
      <c r="I186" s="21">
        <f>H186-(25018370+1469829+12347573)/1000*$H$5</f>
        <v>91932.290999999997</v>
      </c>
      <c r="J186" s="27" t="s">
        <v>467</v>
      </c>
      <c r="K186" s="33"/>
      <c r="L186" s="1" t="s">
        <v>468</v>
      </c>
    </row>
    <row r="187" spans="1:12" ht="84" x14ac:dyDescent="0.2">
      <c r="A187" s="16" t="s">
        <v>728</v>
      </c>
      <c r="B187" s="30" t="s">
        <v>469</v>
      </c>
      <c r="C187" s="153"/>
      <c r="D187" s="89" t="s">
        <v>471</v>
      </c>
      <c r="E187" s="28" t="s">
        <v>1032</v>
      </c>
      <c r="F187" s="19" t="s">
        <v>179</v>
      </c>
      <c r="G187" s="19" t="s">
        <v>7</v>
      </c>
      <c r="H187" s="21">
        <f>(5544496)/1000*$H$5</f>
        <v>5544.4960000000001</v>
      </c>
      <c r="I187" s="21">
        <f t="shared" si="6"/>
        <v>5544.4960000000001</v>
      </c>
      <c r="J187" s="27" t="s">
        <v>470</v>
      </c>
      <c r="K187" s="33"/>
      <c r="L187" s="1" t="s">
        <v>471</v>
      </c>
    </row>
    <row r="188" spans="1:12" ht="48" x14ac:dyDescent="0.2">
      <c r="A188" s="16" t="s">
        <v>729</v>
      </c>
      <c r="B188" s="30" t="s">
        <v>472</v>
      </c>
      <c r="C188" s="153"/>
      <c r="D188" s="89" t="s">
        <v>473</v>
      </c>
      <c r="E188" s="28" t="s">
        <v>475</v>
      </c>
      <c r="F188" s="19" t="s">
        <v>78</v>
      </c>
      <c r="G188" s="19" t="s">
        <v>78</v>
      </c>
      <c r="H188" s="21">
        <f>(829818)/1000*$H$5</f>
        <v>829.81799999999998</v>
      </c>
      <c r="I188" s="21">
        <f t="shared" si="6"/>
        <v>829.81799999999998</v>
      </c>
      <c r="J188" s="27" t="s">
        <v>475</v>
      </c>
      <c r="K188" s="33"/>
      <c r="L188" s="1" t="s">
        <v>473</v>
      </c>
    </row>
    <row r="189" spans="1:12" ht="48.75" customHeight="1" x14ac:dyDescent="0.2">
      <c r="A189" s="16" t="s">
        <v>730</v>
      </c>
      <c r="B189" s="30" t="s">
        <v>474</v>
      </c>
      <c r="C189" s="153"/>
      <c r="D189" s="89" t="s">
        <v>477</v>
      </c>
      <c r="E189" s="28" t="s">
        <v>467</v>
      </c>
      <c r="F189" s="19" t="s">
        <v>124</v>
      </c>
      <c r="G189" s="19" t="s">
        <v>14</v>
      </c>
      <c r="H189" s="21">
        <f>(100377169)/1000*$H$5</f>
        <v>100377.16899999999</v>
      </c>
      <c r="I189" s="21">
        <f>H189-(25100604.84)/1000*$H$5</f>
        <v>75276.564159999994</v>
      </c>
      <c r="J189" s="27" t="s">
        <v>476</v>
      </c>
      <c r="K189" s="33"/>
      <c r="L189" s="1" t="s">
        <v>477</v>
      </c>
    </row>
    <row r="190" spans="1:12" ht="60" x14ac:dyDescent="0.2">
      <c r="A190" s="16" t="s">
        <v>731</v>
      </c>
      <c r="B190" s="30" t="s">
        <v>478</v>
      </c>
      <c r="C190" s="153"/>
      <c r="D190" s="89" t="s">
        <v>480</v>
      </c>
      <c r="E190" s="28" t="s">
        <v>479</v>
      </c>
      <c r="F190" s="19" t="s">
        <v>4</v>
      </c>
      <c r="G190" s="19" t="s">
        <v>24</v>
      </c>
      <c r="H190" s="21">
        <f>(22587631)/1000*$H$5</f>
        <v>22587.631000000001</v>
      </c>
      <c r="I190" s="21">
        <f t="shared" si="6"/>
        <v>22587.631000000001</v>
      </c>
      <c r="J190" s="45" t="s">
        <v>479</v>
      </c>
      <c r="K190" s="33"/>
      <c r="L190" s="1" t="s">
        <v>480</v>
      </c>
    </row>
    <row r="191" spans="1:12" ht="23.25" customHeight="1" x14ac:dyDescent="0.2">
      <c r="A191" s="16" t="s">
        <v>732</v>
      </c>
      <c r="B191" s="41" t="s">
        <v>481</v>
      </c>
      <c r="C191" s="153"/>
      <c r="D191" s="89" t="s">
        <v>483</v>
      </c>
      <c r="E191" s="28" t="s">
        <v>482</v>
      </c>
      <c r="F191" s="19" t="s">
        <v>427</v>
      </c>
      <c r="G191" s="19" t="s">
        <v>84</v>
      </c>
      <c r="H191" s="21">
        <f>(24378308.18)/1000*$H$5</f>
        <v>24378.30818</v>
      </c>
      <c r="I191" s="21">
        <f>H191-(3669923.61)/1000*$H$5</f>
        <v>20708.384570000002</v>
      </c>
      <c r="J191" s="27" t="s">
        <v>482</v>
      </c>
      <c r="K191" s="33"/>
      <c r="L191" s="1" t="s">
        <v>483</v>
      </c>
    </row>
    <row r="192" spans="1:12" ht="48" x14ac:dyDescent="0.2">
      <c r="A192" s="16" t="s">
        <v>733</v>
      </c>
      <c r="B192" s="30" t="s">
        <v>485</v>
      </c>
      <c r="C192" s="153"/>
      <c r="D192" s="89" t="s">
        <v>486</v>
      </c>
      <c r="E192" s="28" t="s">
        <v>487</v>
      </c>
      <c r="F192" s="19" t="s">
        <v>427</v>
      </c>
      <c r="G192" s="24" t="s">
        <v>230</v>
      </c>
      <c r="H192" s="21">
        <f>(18119912)/1000*$H$5</f>
        <v>18119.912</v>
      </c>
      <c r="I192" s="21">
        <f t="shared" si="6"/>
        <v>18119.912</v>
      </c>
      <c r="J192" s="27" t="s">
        <v>487</v>
      </c>
      <c r="K192" s="33"/>
      <c r="L192" s="1" t="s">
        <v>486</v>
      </c>
    </row>
    <row r="193" spans="1:12" ht="60" x14ac:dyDescent="0.2">
      <c r="A193" s="16" t="s">
        <v>734</v>
      </c>
      <c r="B193" s="30" t="s">
        <v>484</v>
      </c>
      <c r="C193" s="153"/>
      <c r="D193" s="89" t="s">
        <v>490</v>
      </c>
      <c r="E193" s="28" t="s">
        <v>489</v>
      </c>
      <c r="F193" s="19" t="s">
        <v>427</v>
      </c>
      <c r="G193" s="19" t="s">
        <v>488</v>
      </c>
      <c r="H193" s="21">
        <f>(50693441.39)/1000*$H$5</f>
        <v>50693.44139</v>
      </c>
      <c r="I193" s="21">
        <f>H193-(7118161)/1000*$H$5</f>
        <v>43575.28039</v>
      </c>
      <c r="J193" s="27" t="s">
        <v>489</v>
      </c>
      <c r="K193" s="33"/>
      <c r="L193" s="1" t="s">
        <v>490</v>
      </c>
    </row>
    <row r="194" spans="1:12" ht="48" x14ac:dyDescent="0.2">
      <c r="A194" s="16" t="s">
        <v>735</v>
      </c>
      <c r="B194" s="30" t="s">
        <v>491</v>
      </c>
      <c r="C194" s="153"/>
      <c r="D194" s="89" t="s">
        <v>493</v>
      </c>
      <c r="E194" s="28" t="s">
        <v>492</v>
      </c>
      <c r="F194" s="19" t="s">
        <v>230</v>
      </c>
      <c r="G194" s="24" t="s">
        <v>7</v>
      </c>
      <c r="H194" s="21">
        <f>(1289255)/1000*$H$5</f>
        <v>1289.2550000000001</v>
      </c>
      <c r="I194" s="21">
        <f t="shared" si="6"/>
        <v>1289.2550000000001</v>
      </c>
      <c r="J194" s="27" t="s">
        <v>492</v>
      </c>
      <c r="K194" s="33"/>
      <c r="L194" s="1" t="s">
        <v>493</v>
      </c>
    </row>
    <row r="195" spans="1:12" ht="24" x14ac:dyDescent="0.2">
      <c r="A195" s="16" t="s">
        <v>736</v>
      </c>
      <c r="B195" s="30" t="s">
        <v>495</v>
      </c>
      <c r="C195" s="153"/>
      <c r="D195" s="89" t="s">
        <v>494</v>
      </c>
      <c r="E195" s="28" t="s">
        <v>540</v>
      </c>
      <c r="F195" s="19" t="s">
        <v>230</v>
      </c>
      <c r="G195" s="24" t="s">
        <v>7</v>
      </c>
      <c r="H195" s="21">
        <f>(998697)/1000*$H$5</f>
        <v>998.697</v>
      </c>
      <c r="I195" s="21">
        <f t="shared" si="6"/>
        <v>998.697</v>
      </c>
      <c r="J195" s="27" t="s">
        <v>540</v>
      </c>
      <c r="K195" s="33"/>
      <c r="L195" s="1" t="s">
        <v>494</v>
      </c>
    </row>
    <row r="196" spans="1:12" ht="72" x14ac:dyDescent="0.2">
      <c r="A196" s="16" t="s">
        <v>737</v>
      </c>
      <c r="B196" s="30" t="s">
        <v>497</v>
      </c>
      <c r="C196" s="153"/>
      <c r="D196" s="89" t="s">
        <v>496</v>
      </c>
      <c r="E196" s="28" t="s">
        <v>498</v>
      </c>
      <c r="F196" s="19" t="s">
        <v>499</v>
      </c>
      <c r="G196" s="24" t="s">
        <v>500</v>
      </c>
      <c r="H196" s="21">
        <f>(4308132)/1000*$H$5</f>
        <v>4308.1319999999996</v>
      </c>
      <c r="I196" s="21">
        <f>H196-(1306408)/1000*$H$5</f>
        <v>3001.7239999999997</v>
      </c>
      <c r="J196" s="27" t="s">
        <v>498</v>
      </c>
      <c r="K196" s="33"/>
      <c r="L196" s="1" t="s">
        <v>496</v>
      </c>
    </row>
    <row r="197" spans="1:12" ht="36" x14ac:dyDescent="0.2">
      <c r="A197" s="16" t="s">
        <v>738</v>
      </c>
      <c r="B197" s="30" t="s">
        <v>501</v>
      </c>
      <c r="C197" s="153"/>
      <c r="D197" s="89" t="s">
        <v>503</v>
      </c>
      <c r="E197" s="28" t="s">
        <v>502</v>
      </c>
      <c r="F197" s="19" t="s">
        <v>132</v>
      </c>
      <c r="G197" s="24" t="s">
        <v>9</v>
      </c>
      <c r="H197" s="21">
        <f>(12401096)/1000*$H$5</f>
        <v>12401.096</v>
      </c>
      <c r="I197" s="21">
        <f>H197-(0)/1000*$H$5</f>
        <v>12401.096</v>
      </c>
      <c r="J197" s="27" t="s">
        <v>502</v>
      </c>
      <c r="K197" s="33"/>
      <c r="L197" s="1" t="s">
        <v>503</v>
      </c>
    </row>
    <row r="198" spans="1:12" ht="48" x14ac:dyDescent="0.2">
      <c r="A198" s="16" t="s">
        <v>739</v>
      </c>
      <c r="B198" s="30" t="s">
        <v>509</v>
      </c>
      <c r="C198" s="153"/>
      <c r="D198" s="89" t="s">
        <v>504</v>
      </c>
      <c r="E198" s="28" t="s">
        <v>505</v>
      </c>
      <c r="F198" s="19" t="s">
        <v>7</v>
      </c>
      <c r="G198" s="19" t="s">
        <v>93</v>
      </c>
      <c r="H198" s="21">
        <f>(1022700)/1000*$H$5</f>
        <v>1022.7</v>
      </c>
      <c r="I198" s="21">
        <f t="shared" ref="I198:I213" si="7">H198-(0)/1000*$H$5</f>
        <v>1022.7</v>
      </c>
      <c r="J198" s="27" t="s">
        <v>505</v>
      </c>
      <c r="K198" s="33"/>
      <c r="L198" s="1" t="s">
        <v>504</v>
      </c>
    </row>
    <row r="199" spans="1:12" ht="48" x14ac:dyDescent="0.2">
      <c r="A199" s="16" t="s">
        <v>740</v>
      </c>
      <c r="B199" s="30" t="s">
        <v>509</v>
      </c>
      <c r="C199" s="153"/>
      <c r="D199" s="89" t="s">
        <v>506</v>
      </c>
      <c r="E199" s="28" t="s">
        <v>507</v>
      </c>
      <c r="F199" s="19" t="s">
        <v>508</v>
      </c>
      <c r="G199" s="19" t="s">
        <v>86</v>
      </c>
      <c r="H199" s="21">
        <f>(8552344)/1000*$H$5</f>
        <v>8552.3439999999991</v>
      </c>
      <c r="I199" s="21">
        <f t="shared" si="7"/>
        <v>8552.3439999999991</v>
      </c>
      <c r="J199" s="27" t="s">
        <v>507</v>
      </c>
      <c r="K199" s="33"/>
      <c r="L199" s="1" t="s">
        <v>506</v>
      </c>
    </row>
    <row r="200" spans="1:12" ht="48" x14ac:dyDescent="0.2">
      <c r="A200" s="16" t="s">
        <v>741</v>
      </c>
      <c r="B200" s="30" t="s">
        <v>541</v>
      </c>
      <c r="C200" s="153"/>
      <c r="D200" s="89" t="s">
        <v>510</v>
      </c>
      <c r="E200" s="28" t="s">
        <v>512</v>
      </c>
      <c r="F200" s="19" t="s">
        <v>86</v>
      </c>
      <c r="G200" s="19" t="s">
        <v>511</v>
      </c>
      <c r="H200" s="21">
        <f>(1554362)/1000*$H$5</f>
        <v>1554.3620000000001</v>
      </c>
      <c r="I200" s="21">
        <f t="shared" si="7"/>
        <v>1554.3620000000001</v>
      </c>
      <c r="J200" s="27" t="s">
        <v>512</v>
      </c>
      <c r="K200" s="33"/>
      <c r="L200" s="1" t="s">
        <v>510</v>
      </c>
    </row>
    <row r="201" spans="1:12" ht="48" x14ac:dyDescent="0.2">
      <c r="A201" s="16" t="s">
        <v>742</v>
      </c>
      <c r="B201" s="30" t="s">
        <v>514</v>
      </c>
      <c r="C201" s="153"/>
      <c r="D201" s="89" t="s">
        <v>513</v>
      </c>
      <c r="E201" s="28" t="s">
        <v>515</v>
      </c>
      <c r="F201" s="19" t="s">
        <v>511</v>
      </c>
      <c r="G201" s="19" t="s">
        <v>95</v>
      </c>
      <c r="H201" s="21">
        <f>(5110000)/1000*$H$5</f>
        <v>5110</v>
      </c>
      <c r="I201" s="21">
        <f t="shared" si="7"/>
        <v>5110</v>
      </c>
      <c r="J201" s="45" t="s">
        <v>515</v>
      </c>
      <c r="K201" s="33"/>
      <c r="L201" s="1" t="s">
        <v>513</v>
      </c>
    </row>
    <row r="202" spans="1:12" ht="36" x14ac:dyDescent="0.2">
      <c r="A202" s="16" t="s">
        <v>743</v>
      </c>
      <c r="B202" s="30" t="s">
        <v>517</v>
      </c>
      <c r="C202" s="153"/>
      <c r="D202" s="89" t="s">
        <v>516</v>
      </c>
      <c r="E202" s="28" t="s">
        <v>482</v>
      </c>
      <c r="F202" s="19" t="s">
        <v>58</v>
      </c>
      <c r="G202" s="19" t="s">
        <v>58</v>
      </c>
      <c r="H202" s="21">
        <f>(3205702)/1000*$H$5</f>
        <v>3205.7020000000002</v>
      </c>
      <c r="I202" s="21">
        <f t="shared" si="7"/>
        <v>3205.7020000000002</v>
      </c>
      <c r="J202" s="27" t="s">
        <v>482</v>
      </c>
      <c r="K202" s="33"/>
      <c r="L202" s="1" t="s">
        <v>516</v>
      </c>
    </row>
    <row r="203" spans="1:12" ht="48" x14ac:dyDescent="0.2">
      <c r="A203" s="16" t="s">
        <v>744</v>
      </c>
      <c r="B203" s="30" t="s">
        <v>542</v>
      </c>
      <c r="C203" s="153"/>
      <c r="D203" s="89" t="s">
        <v>522</v>
      </c>
      <c r="E203" s="28" t="s">
        <v>521</v>
      </c>
      <c r="F203" s="19" t="s">
        <v>91</v>
      </c>
      <c r="G203" s="24" t="s">
        <v>139</v>
      </c>
      <c r="H203" s="21">
        <f>(9056742)/1000*$H$5</f>
        <v>9056.7420000000002</v>
      </c>
      <c r="I203" s="21">
        <f>H203-(0)/1000*$H$5</f>
        <v>9056.7420000000002</v>
      </c>
      <c r="J203" s="27" t="s">
        <v>521</v>
      </c>
      <c r="K203" s="33"/>
      <c r="L203" s="1" t="s">
        <v>518</v>
      </c>
    </row>
    <row r="204" spans="1:12" ht="48" x14ac:dyDescent="0.2">
      <c r="A204" s="16" t="s">
        <v>745</v>
      </c>
      <c r="B204" s="30" t="s">
        <v>542</v>
      </c>
      <c r="C204" s="153"/>
      <c r="D204" s="89" t="s">
        <v>520</v>
      </c>
      <c r="E204" s="28" t="s">
        <v>523</v>
      </c>
      <c r="F204" s="19" t="s">
        <v>139</v>
      </c>
      <c r="G204" s="19" t="s">
        <v>211</v>
      </c>
      <c r="H204" s="21">
        <f>(3645714)/1000*$H$5</f>
        <v>3645.7139999999999</v>
      </c>
      <c r="I204" s="21">
        <f>H204-(0)/1000*$H$5</f>
        <v>3645.7139999999999</v>
      </c>
      <c r="J204" s="27" t="s">
        <v>523</v>
      </c>
      <c r="K204" s="33"/>
      <c r="L204" s="1" t="s">
        <v>522</v>
      </c>
    </row>
    <row r="205" spans="1:12" ht="84" x14ac:dyDescent="0.2">
      <c r="A205" s="16" t="s">
        <v>746</v>
      </c>
      <c r="B205" s="30" t="s">
        <v>542</v>
      </c>
      <c r="C205" s="153"/>
      <c r="D205" s="89" t="s">
        <v>524</v>
      </c>
      <c r="E205" s="28" t="s">
        <v>790</v>
      </c>
      <c r="F205" s="19" t="s">
        <v>211</v>
      </c>
      <c r="G205" s="24" t="s">
        <v>519</v>
      </c>
      <c r="H205" s="21">
        <f>(5120965)/1000*$H$5</f>
        <v>5120.9650000000001</v>
      </c>
      <c r="I205" s="21">
        <f t="shared" si="7"/>
        <v>5120.9650000000001</v>
      </c>
      <c r="J205" s="27" t="s">
        <v>790</v>
      </c>
      <c r="K205" s="33"/>
      <c r="L205" s="1" t="s">
        <v>520</v>
      </c>
    </row>
    <row r="206" spans="1:12" ht="48" x14ac:dyDescent="0.2">
      <c r="A206" s="16" t="s">
        <v>747</v>
      </c>
      <c r="B206" s="30" t="s">
        <v>525</v>
      </c>
      <c r="C206" s="153"/>
      <c r="D206" s="89" t="s">
        <v>527</v>
      </c>
      <c r="E206" s="28" t="s">
        <v>528</v>
      </c>
      <c r="F206" s="19" t="s">
        <v>101</v>
      </c>
      <c r="G206" s="24" t="s">
        <v>141</v>
      </c>
      <c r="H206" s="21">
        <f>(3928184)/1000*$H$5</f>
        <v>3928.1840000000002</v>
      </c>
      <c r="I206" s="21">
        <f t="shared" si="7"/>
        <v>3928.1840000000002</v>
      </c>
      <c r="J206" s="27" t="s">
        <v>528</v>
      </c>
      <c r="K206" s="33"/>
      <c r="L206" s="1" t="s">
        <v>524</v>
      </c>
    </row>
    <row r="207" spans="1:12" ht="36" x14ac:dyDescent="0.2">
      <c r="A207" s="16" t="s">
        <v>748</v>
      </c>
      <c r="B207" s="30" t="s">
        <v>526</v>
      </c>
      <c r="C207" s="153"/>
      <c r="D207" s="89" t="s">
        <v>527</v>
      </c>
      <c r="E207" s="28" t="s">
        <v>422</v>
      </c>
      <c r="F207" s="19" t="s">
        <v>104</v>
      </c>
      <c r="G207" s="24" t="s">
        <v>20</v>
      </c>
      <c r="H207" s="21">
        <f>(1807561)/1000*$H$5</f>
        <v>1807.5609999999999</v>
      </c>
      <c r="I207" s="21">
        <f t="shared" si="7"/>
        <v>1807.5609999999999</v>
      </c>
      <c r="J207" s="27" t="s">
        <v>422</v>
      </c>
      <c r="K207" s="33"/>
      <c r="L207" s="1" t="s">
        <v>527</v>
      </c>
    </row>
    <row r="208" spans="1:12" ht="63.75" customHeight="1" x14ac:dyDescent="0.2">
      <c r="A208" s="16" t="s">
        <v>749</v>
      </c>
      <c r="B208" s="30" t="s">
        <v>529</v>
      </c>
      <c r="C208" s="153"/>
      <c r="D208" s="89" t="s">
        <v>532</v>
      </c>
      <c r="E208" s="28" t="s">
        <v>1033</v>
      </c>
      <c r="F208" s="19" t="s">
        <v>107</v>
      </c>
      <c r="G208" s="24" t="s">
        <v>531</v>
      </c>
      <c r="H208" s="21">
        <f>(3056511)/1000*$H$5</f>
        <v>3056.511</v>
      </c>
      <c r="I208" s="21">
        <f t="shared" si="7"/>
        <v>3056.511</v>
      </c>
      <c r="J208" s="27" t="s">
        <v>530</v>
      </c>
      <c r="K208" s="33"/>
      <c r="L208" s="1" t="s">
        <v>532</v>
      </c>
    </row>
    <row r="209" spans="1:12" ht="36" x14ac:dyDescent="0.2">
      <c r="A209" s="17" t="s">
        <v>750</v>
      </c>
      <c r="B209" s="30" t="s">
        <v>534</v>
      </c>
      <c r="C209" s="154"/>
      <c r="D209" s="89" t="s">
        <v>533</v>
      </c>
      <c r="E209" s="28" t="s">
        <v>535</v>
      </c>
      <c r="F209" s="19" t="s">
        <v>107</v>
      </c>
      <c r="G209" s="24" t="s">
        <v>17</v>
      </c>
      <c r="H209" s="13">
        <f>(6230000)/1000*$H$5</f>
        <v>6230</v>
      </c>
      <c r="I209" s="13">
        <f t="shared" si="7"/>
        <v>6230</v>
      </c>
      <c r="J209" s="27" t="s">
        <v>535</v>
      </c>
      <c r="K209" s="33"/>
      <c r="L209" s="1" t="s">
        <v>533</v>
      </c>
    </row>
    <row r="210" spans="1:12" ht="96" x14ac:dyDescent="0.2">
      <c r="A210" s="17" t="s">
        <v>751</v>
      </c>
      <c r="B210" s="4" t="s">
        <v>791</v>
      </c>
      <c r="C210" s="52" t="s">
        <v>792</v>
      </c>
      <c r="D210" s="95" t="s">
        <v>628</v>
      </c>
      <c r="E210" s="52" t="s">
        <v>1034</v>
      </c>
      <c r="F210" s="11" t="s">
        <v>86</v>
      </c>
      <c r="G210" s="11" t="s">
        <v>91</v>
      </c>
      <c r="H210" s="13">
        <f>(2720619)/1000*$H$5</f>
        <v>2720.6190000000001</v>
      </c>
      <c r="I210" s="13">
        <f>H210-(0)/1000*$H$5</f>
        <v>2720.6190000000001</v>
      </c>
      <c r="J210" s="2" t="s">
        <v>793</v>
      </c>
      <c r="K210" s="3"/>
      <c r="L210" s="1" t="s">
        <v>628</v>
      </c>
    </row>
    <row r="211" spans="1:12" ht="48" x14ac:dyDescent="0.2">
      <c r="A211" s="17" t="s">
        <v>752</v>
      </c>
      <c r="B211" s="7" t="s">
        <v>635</v>
      </c>
      <c r="C211" s="52" t="s">
        <v>636</v>
      </c>
      <c r="D211" s="95"/>
      <c r="E211" s="52" t="s">
        <v>1035</v>
      </c>
      <c r="F211" s="11" t="s">
        <v>22</v>
      </c>
      <c r="G211" s="11" t="s">
        <v>18</v>
      </c>
      <c r="H211" s="13">
        <f>(6361573.23)/1000*$H$5</f>
        <v>6361.5732300000009</v>
      </c>
      <c r="I211" s="13">
        <f>H211-(0)/1000*$H$5</f>
        <v>6361.5732300000009</v>
      </c>
      <c r="J211" s="2" t="s">
        <v>639</v>
      </c>
      <c r="K211" s="3"/>
    </row>
    <row r="212" spans="1:12" ht="72" x14ac:dyDescent="0.2">
      <c r="A212" s="17" t="s">
        <v>753</v>
      </c>
      <c r="B212" s="7" t="s">
        <v>616</v>
      </c>
      <c r="C212" s="52" t="s">
        <v>619</v>
      </c>
      <c r="D212" s="95" t="s">
        <v>618</v>
      </c>
      <c r="E212" s="52" t="s">
        <v>1036</v>
      </c>
      <c r="F212" s="11" t="s">
        <v>93</v>
      </c>
      <c r="G212" s="11" t="s">
        <v>9</v>
      </c>
      <c r="H212" s="13">
        <f>(5002224)/1000*$H$5</f>
        <v>5002.2240000000002</v>
      </c>
      <c r="I212" s="13">
        <f>H212-(0)/1000*$H$5</f>
        <v>5002.2240000000002</v>
      </c>
      <c r="J212" s="2" t="s">
        <v>617</v>
      </c>
      <c r="K212" s="3"/>
      <c r="L212" s="1" t="s">
        <v>618</v>
      </c>
    </row>
    <row r="213" spans="1:12" ht="67.5" x14ac:dyDescent="0.2">
      <c r="A213" s="17" t="s">
        <v>754</v>
      </c>
      <c r="B213" s="7" t="s">
        <v>794</v>
      </c>
      <c r="C213" s="52" t="s">
        <v>795</v>
      </c>
      <c r="D213" s="95" t="s">
        <v>550</v>
      </c>
      <c r="E213" s="52" t="s">
        <v>1037</v>
      </c>
      <c r="F213" s="11" t="s">
        <v>177</v>
      </c>
      <c r="G213" s="11" t="s">
        <v>8</v>
      </c>
      <c r="H213" s="13">
        <f>(6175000+2850000)/1000*$H$5</f>
        <v>9025</v>
      </c>
      <c r="I213" s="13">
        <f t="shared" si="7"/>
        <v>9025</v>
      </c>
      <c r="J213" s="2" t="s">
        <v>549</v>
      </c>
      <c r="K213" s="3"/>
      <c r="L213" s="47" t="s">
        <v>550</v>
      </c>
    </row>
    <row r="214" spans="1:12" ht="84" x14ac:dyDescent="0.2">
      <c r="A214" s="16" t="s">
        <v>755</v>
      </c>
      <c r="B214" s="66" t="s">
        <v>798</v>
      </c>
      <c r="C214" s="52" t="s">
        <v>555</v>
      </c>
      <c r="D214" s="95" t="s">
        <v>1038</v>
      </c>
      <c r="E214" s="52" t="s">
        <v>553</v>
      </c>
      <c r="F214" s="11" t="s">
        <v>410</v>
      </c>
      <c r="G214" s="11" t="s">
        <v>127</v>
      </c>
      <c r="H214" s="13">
        <f>(2130356+1597705)/1000*$H$5</f>
        <v>3728.0610000000001</v>
      </c>
      <c r="I214" s="13">
        <f t="shared" ref="I214:I220" si="8">H214-(0)/1000*$H$5</f>
        <v>3728.0610000000001</v>
      </c>
      <c r="J214" s="2" t="s">
        <v>553</v>
      </c>
      <c r="K214" s="3"/>
    </row>
    <row r="215" spans="1:12" ht="72" x14ac:dyDescent="0.2">
      <c r="A215" s="16" t="s">
        <v>757</v>
      </c>
      <c r="B215" s="67"/>
      <c r="C215" s="155" t="s">
        <v>554</v>
      </c>
      <c r="D215" s="96" t="s">
        <v>563</v>
      </c>
      <c r="E215" s="65" t="s">
        <v>564</v>
      </c>
      <c r="F215" s="19" t="s">
        <v>49</v>
      </c>
      <c r="G215" s="19" t="s">
        <v>54</v>
      </c>
      <c r="H215" s="21">
        <f>(946726+686086)/1000*$H$5</f>
        <v>1632.8119999999999</v>
      </c>
      <c r="I215" s="21">
        <f t="shared" si="8"/>
        <v>1632.8119999999999</v>
      </c>
      <c r="J215" s="45" t="s">
        <v>564</v>
      </c>
      <c r="K215" s="33"/>
      <c r="L215" s="47" t="s">
        <v>563</v>
      </c>
    </row>
    <row r="216" spans="1:12" ht="45" x14ac:dyDescent="0.2">
      <c r="A216" s="16" t="s">
        <v>758</v>
      </c>
      <c r="B216" s="67"/>
      <c r="C216" s="156"/>
      <c r="D216" s="96" t="s">
        <v>620</v>
      </c>
      <c r="E216" s="65" t="s">
        <v>565</v>
      </c>
      <c r="F216" s="19" t="s">
        <v>4</v>
      </c>
      <c r="G216" s="19" t="s">
        <v>5</v>
      </c>
      <c r="H216" s="21">
        <f>(740000+867118)/1000*$H$5</f>
        <v>1607.1179999999999</v>
      </c>
      <c r="I216" s="21">
        <f t="shared" si="8"/>
        <v>1607.1179999999999</v>
      </c>
      <c r="J216" s="45" t="s">
        <v>565</v>
      </c>
      <c r="K216" s="33"/>
      <c r="L216" s="47" t="s">
        <v>620</v>
      </c>
    </row>
    <row r="217" spans="1:12" ht="45" x14ac:dyDescent="0.2">
      <c r="A217" s="16" t="s">
        <v>759</v>
      </c>
      <c r="B217" s="67"/>
      <c r="C217" s="156"/>
      <c r="D217" s="96" t="s">
        <v>621</v>
      </c>
      <c r="E217" s="65" t="s">
        <v>565</v>
      </c>
      <c r="F217" s="19" t="s">
        <v>137</v>
      </c>
      <c r="G217" s="19" t="s">
        <v>9</v>
      </c>
      <c r="H217" s="21">
        <f>(1509648+1083366)/1000*$H$5</f>
        <v>2593.0140000000001</v>
      </c>
      <c r="I217" s="21">
        <f t="shared" si="8"/>
        <v>2593.0140000000001</v>
      </c>
      <c r="J217" s="45" t="s">
        <v>565</v>
      </c>
      <c r="K217" s="33"/>
      <c r="L217" s="47" t="s">
        <v>621</v>
      </c>
    </row>
    <row r="218" spans="1:12" ht="45" x14ac:dyDescent="0.2">
      <c r="A218" s="16" t="s">
        <v>760</v>
      </c>
      <c r="B218" s="67"/>
      <c r="C218" s="156"/>
      <c r="D218" s="96" t="s">
        <v>623</v>
      </c>
      <c r="E218" s="65" t="s">
        <v>565</v>
      </c>
      <c r="F218" s="19" t="s">
        <v>508</v>
      </c>
      <c r="G218" s="19" t="s">
        <v>16</v>
      </c>
      <c r="H218" s="21">
        <f>(4608712+1700000)/1000*$H$5</f>
        <v>6308.7120000000004</v>
      </c>
      <c r="I218" s="21">
        <f t="shared" si="8"/>
        <v>6308.7120000000004</v>
      </c>
      <c r="J218" s="45" t="s">
        <v>565</v>
      </c>
      <c r="K218" s="33"/>
      <c r="L218" s="47" t="s">
        <v>623</v>
      </c>
    </row>
    <row r="219" spans="1:12" ht="48" customHeight="1" x14ac:dyDescent="0.2">
      <c r="A219" s="16" t="s">
        <v>761</v>
      </c>
      <c r="B219" s="68"/>
      <c r="C219" s="157"/>
      <c r="D219" s="96" t="s">
        <v>624</v>
      </c>
      <c r="E219" s="45" t="s">
        <v>756</v>
      </c>
      <c r="F219" s="19" t="s">
        <v>61</v>
      </c>
      <c r="G219" s="19" t="s">
        <v>103</v>
      </c>
      <c r="H219" s="21">
        <f>(4390000074)/1000*$H$5</f>
        <v>4390000.074</v>
      </c>
      <c r="I219" s="21">
        <f t="shared" si="8"/>
        <v>4390000.074</v>
      </c>
      <c r="J219" s="45" t="s">
        <v>756</v>
      </c>
      <c r="K219" s="33"/>
      <c r="L219" s="1" t="s">
        <v>624</v>
      </c>
    </row>
    <row r="220" spans="1:12" ht="60" x14ac:dyDescent="0.2">
      <c r="A220" s="61" t="s">
        <v>762</v>
      </c>
      <c r="B220" s="52" t="s">
        <v>797</v>
      </c>
      <c r="C220" s="52" t="s">
        <v>637</v>
      </c>
      <c r="D220" s="95" t="s">
        <v>641</v>
      </c>
      <c r="E220" s="2" t="s">
        <v>1039</v>
      </c>
      <c r="F220" s="11" t="s">
        <v>141</v>
      </c>
      <c r="G220" s="11" t="s">
        <v>638</v>
      </c>
      <c r="H220" s="60">
        <f>(1240980)/1000*$H$5</f>
        <v>1240.98</v>
      </c>
      <c r="I220" s="60">
        <f t="shared" si="8"/>
        <v>1240.98</v>
      </c>
      <c r="J220" s="2" t="s">
        <v>640</v>
      </c>
      <c r="K220" s="3"/>
      <c r="L220" s="1" t="s">
        <v>641</v>
      </c>
    </row>
    <row r="222" spans="1:12" x14ac:dyDescent="0.2">
      <c r="B222" s="158" t="s">
        <v>796</v>
      </c>
      <c r="C222" s="158"/>
      <c r="D222" s="158"/>
      <c r="E222" s="158"/>
      <c r="F222" s="158"/>
      <c r="G222" s="158"/>
      <c r="H222" s="158"/>
      <c r="I222" s="158"/>
      <c r="J222" s="158"/>
      <c r="K222" s="158"/>
    </row>
    <row r="224" spans="1:12" x14ac:dyDescent="0.2">
      <c r="A224" s="1" t="s">
        <v>806</v>
      </c>
    </row>
    <row r="244" spans="10:10" x14ac:dyDescent="0.2">
      <c r="J244" s="1" t="s">
        <v>1016</v>
      </c>
    </row>
    <row r="245" spans="10:10" x14ac:dyDescent="0.2">
      <c r="J245" s="1" t="s">
        <v>1018</v>
      </c>
    </row>
    <row r="246" spans="10:10" x14ac:dyDescent="0.2">
      <c r="J246" s="1" t="s">
        <v>1019</v>
      </c>
    </row>
    <row r="247" spans="10:10" x14ac:dyDescent="0.2">
      <c r="J247" s="1" t="s">
        <v>1020</v>
      </c>
    </row>
    <row r="248" spans="10:10" x14ac:dyDescent="0.2">
      <c r="J248" s="1" t="s">
        <v>1021</v>
      </c>
    </row>
    <row r="249" spans="10:10" x14ac:dyDescent="0.2">
      <c r="J249" s="1" t="s">
        <v>1022</v>
      </c>
    </row>
    <row r="250" spans="10:10" x14ac:dyDescent="0.2">
      <c r="J250" s="1" t="s">
        <v>1023</v>
      </c>
    </row>
    <row r="251" spans="10:10" x14ac:dyDescent="0.2">
      <c r="J251" s="1" t="s">
        <v>1024</v>
      </c>
    </row>
    <row r="252" spans="10:10" x14ac:dyDescent="0.2">
      <c r="J252" s="1" t="s">
        <v>1025</v>
      </c>
    </row>
    <row r="253" spans="10:10" x14ac:dyDescent="0.2">
      <c r="J253" s="1" t="s">
        <v>1026</v>
      </c>
    </row>
    <row r="254" spans="10:10" x14ac:dyDescent="0.2">
      <c r="J254" s="1" t="s">
        <v>1027</v>
      </c>
    </row>
    <row r="257" spans="10:12" x14ac:dyDescent="0.2">
      <c r="J257" s="1" t="s">
        <v>786</v>
      </c>
      <c r="L257" s="1" t="s">
        <v>577</v>
      </c>
    </row>
  </sheetData>
  <mergeCells count="40">
    <mergeCell ref="B222:K222"/>
    <mergeCell ref="C114:C116"/>
    <mergeCell ref="C111:C113"/>
    <mergeCell ref="C144:C148"/>
    <mergeCell ref="C150:C151"/>
    <mergeCell ref="F150:F151"/>
    <mergeCell ref="G150:G151"/>
    <mergeCell ref="H150:H151"/>
    <mergeCell ref="I150:I151"/>
    <mergeCell ref="C162:C163"/>
    <mergeCell ref="C215:C219"/>
    <mergeCell ref="C139:C140"/>
    <mergeCell ref="C118:C128"/>
    <mergeCell ref="C180:C209"/>
    <mergeCell ref="C129:C138"/>
    <mergeCell ref="C153:C154"/>
    <mergeCell ref="B2:K2"/>
    <mergeCell ref="B3:K3"/>
    <mergeCell ref="B4:K4"/>
    <mergeCell ref="B6:B7"/>
    <mergeCell ref="F6:G6"/>
    <mergeCell ref="H6:I6"/>
    <mergeCell ref="J6:J7"/>
    <mergeCell ref="K6:K7"/>
    <mergeCell ref="C6:C7"/>
    <mergeCell ref="A6:A7"/>
    <mergeCell ref="C9:C21"/>
    <mergeCell ref="C23:C32"/>
    <mergeCell ref="C34:C53"/>
    <mergeCell ref="C54:C55"/>
    <mergeCell ref="C164:C166"/>
    <mergeCell ref="C170:C179"/>
    <mergeCell ref="D6:D7"/>
    <mergeCell ref="E6:E7"/>
    <mergeCell ref="C109:C110"/>
    <mergeCell ref="C56:C57"/>
    <mergeCell ref="C62:C68"/>
    <mergeCell ref="C58:C60"/>
    <mergeCell ref="C103:C107"/>
    <mergeCell ref="C83:C93"/>
  </mergeCells>
  <pageMargins left="0.11811023622047245" right="0.11811023622047245" top="0.27559055118110237" bottom="0.27559055118110237" header="0.31496062992125984" footer="0.11811023622047245"/>
  <pageSetup paperSize="9" scale="10" fitToHeight="200" orientation="landscape" r:id="rId1"/>
  <headerFooter>
    <oddFooter>&amp;R&amp;P</oddFooter>
  </headerFooter>
  <rowBreaks count="1" manualBreakCount="1">
    <brk id="1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2"/>
  <sheetViews>
    <sheetView tabSelected="1" topLeftCell="A318" zoomScale="120" zoomScaleNormal="120" workbookViewId="0">
      <selection activeCell="G317" sqref="G317"/>
    </sheetView>
  </sheetViews>
  <sheetFormatPr defaultRowHeight="12" x14ac:dyDescent="0.2"/>
  <cols>
    <col min="1" max="1" width="6" style="1" customWidth="1"/>
    <col min="2" max="2" width="29.140625" style="1" customWidth="1"/>
    <col min="3" max="3" width="37.140625" style="1" customWidth="1"/>
    <col min="4" max="4" width="15" style="148" customWidth="1"/>
    <col min="5" max="5" width="33.85546875" style="1" customWidth="1"/>
    <col min="6" max="6" width="14.140625" style="1" customWidth="1"/>
    <col min="7" max="7" width="13.7109375" style="1" customWidth="1"/>
    <col min="8" max="8" width="12.28515625" style="1" customWidth="1"/>
    <col min="9" max="9" width="11" style="1" customWidth="1"/>
    <col min="10" max="10" width="22.5703125" style="1" customWidth="1"/>
    <col min="11" max="16384" width="9.140625" style="1"/>
  </cols>
  <sheetData>
    <row r="1" spans="1:10" x14ac:dyDescent="0.2">
      <c r="A1" s="105"/>
      <c r="B1" s="105" t="s">
        <v>2566</v>
      </c>
      <c r="C1" s="105"/>
      <c r="D1" s="146"/>
      <c r="E1" s="105"/>
      <c r="F1" s="106"/>
      <c r="G1" s="106"/>
      <c r="H1" s="105"/>
      <c r="I1" s="105"/>
      <c r="J1" s="105"/>
    </row>
    <row r="2" spans="1:10" x14ac:dyDescent="0.2">
      <c r="A2" s="105"/>
      <c r="B2" s="105"/>
      <c r="C2" s="105"/>
      <c r="D2" s="146"/>
      <c r="E2" s="105"/>
      <c r="F2" s="106"/>
      <c r="G2" s="106"/>
      <c r="H2" s="105"/>
      <c r="I2" s="105"/>
      <c r="J2" s="105"/>
    </row>
    <row r="3" spans="1:10" x14ac:dyDescent="0.2">
      <c r="A3" s="105"/>
      <c r="B3" s="105"/>
      <c r="C3" s="105"/>
      <c r="D3" s="146"/>
      <c r="E3" s="105"/>
      <c r="F3" s="106"/>
      <c r="G3" s="106"/>
      <c r="H3" s="105"/>
      <c r="I3" s="105"/>
      <c r="J3" s="105"/>
    </row>
    <row r="4" spans="1:10" x14ac:dyDescent="0.2">
      <c r="A4" s="182" t="s">
        <v>65</v>
      </c>
      <c r="B4" s="182" t="s">
        <v>1263</v>
      </c>
      <c r="C4" s="186" t="s">
        <v>2019</v>
      </c>
      <c r="D4" s="186" t="s">
        <v>808</v>
      </c>
      <c r="E4" s="186" t="s">
        <v>809</v>
      </c>
      <c r="F4" s="184" t="s">
        <v>1</v>
      </c>
      <c r="G4" s="185"/>
      <c r="H4" s="180" t="s">
        <v>2632</v>
      </c>
      <c r="I4" s="181"/>
      <c r="J4" s="182" t="s">
        <v>1681</v>
      </c>
    </row>
    <row r="5" spans="1:10" ht="36" x14ac:dyDescent="0.2">
      <c r="A5" s="183"/>
      <c r="B5" s="183"/>
      <c r="C5" s="183"/>
      <c r="D5" s="183"/>
      <c r="E5" s="183"/>
      <c r="F5" s="109" t="s">
        <v>2</v>
      </c>
      <c r="G5" s="109" t="s">
        <v>2020</v>
      </c>
      <c r="H5" s="103" t="s">
        <v>3</v>
      </c>
      <c r="I5" s="103" t="s">
        <v>33</v>
      </c>
      <c r="J5" s="183"/>
    </row>
    <row r="6" spans="1:10" x14ac:dyDescent="0.2">
      <c r="A6" s="104">
        <v>1</v>
      </c>
      <c r="B6" s="104">
        <v>2</v>
      </c>
      <c r="C6" s="104">
        <v>3</v>
      </c>
      <c r="D6" s="104">
        <v>4</v>
      </c>
      <c r="E6" s="104">
        <v>5</v>
      </c>
      <c r="F6" s="62">
        <v>6</v>
      </c>
      <c r="G6" s="62">
        <v>7</v>
      </c>
      <c r="H6" s="104">
        <v>8</v>
      </c>
      <c r="I6" s="104">
        <v>9</v>
      </c>
      <c r="J6" s="104">
        <v>10</v>
      </c>
    </row>
    <row r="7" spans="1:10" ht="84" x14ac:dyDescent="0.2">
      <c r="A7" s="107" t="s">
        <v>1397</v>
      </c>
      <c r="B7" s="101" t="s">
        <v>1530</v>
      </c>
      <c r="C7" s="144" t="s">
        <v>1975</v>
      </c>
      <c r="D7" s="103" t="s">
        <v>928</v>
      </c>
      <c r="E7" s="144" t="s">
        <v>924</v>
      </c>
      <c r="F7" s="62" t="s">
        <v>1632</v>
      </c>
      <c r="G7" s="111" t="s">
        <v>1105</v>
      </c>
      <c r="H7" s="110">
        <v>39300</v>
      </c>
      <c r="I7" s="110">
        <v>39300</v>
      </c>
      <c r="J7" s="144" t="s">
        <v>1682</v>
      </c>
    </row>
    <row r="8" spans="1:10" ht="84" x14ac:dyDescent="0.2">
      <c r="A8" s="107" t="s">
        <v>1311</v>
      </c>
      <c r="B8" s="101" t="s">
        <v>1530</v>
      </c>
      <c r="C8" s="144" t="s">
        <v>1976</v>
      </c>
      <c r="D8" s="103" t="s">
        <v>927</v>
      </c>
      <c r="E8" s="144" t="s">
        <v>1623</v>
      </c>
      <c r="F8" s="62" t="s">
        <v>1633</v>
      </c>
      <c r="G8" s="62" t="s">
        <v>9</v>
      </c>
      <c r="H8" s="110">
        <v>36877</v>
      </c>
      <c r="I8" s="110">
        <v>36557</v>
      </c>
      <c r="J8" s="144" t="s">
        <v>1640</v>
      </c>
    </row>
    <row r="9" spans="1:10" ht="120" x14ac:dyDescent="0.2">
      <c r="A9" s="107" t="s">
        <v>186</v>
      </c>
      <c r="B9" s="101" t="s">
        <v>1369</v>
      </c>
      <c r="C9" s="144" t="s">
        <v>1751</v>
      </c>
      <c r="D9" s="103" t="s">
        <v>388</v>
      </c>
      <c r="E9" s="144" t="s">
        <v>1060</v>
      </c>
      <c r="F9" s="112" t="s">
        <v>389</v>
      </c>
      <c r="G9" s="112" t="s">
        <v>126</v>
      </c>
      <c r="H9" s="110">
        <v>1800</v>
      </c>
      <c r="I9" s="110">
        <v>1800</v>
      </c>
      <c r="J9" s="144" t="s">
        <v>1683</v>
      </c>
    </row>
    <row r="10" spans="1:10" ht="84" x14ac:dyDescent="0.2">
      <c r="A10" s="107" t="s">
        <v>1312</v>
      </c>
      <c r="B10" s="101" t="s">
        <v>1530</v>
      </c>
      <c r="C10" s="144" t="s">
        <v>1977</v>
      </c>
      <c r="D10" s="103" t="s">
        <v>659</v>
      </c>
      <c r="E10" s="144" t="s">
        <v>1624</v>
      </c>
      <c r="F10" s="62" t="s">
        <v>48</v>
      </c>
      <c r="G10" s="111" t="s">
        <v>638</v>
      </c>
      <c r="H10" s="110">
        <v>77020</v>
      </c>
      <c r="I10" s="110">
        <v>77020</v>
      </c>
      <c r="J10" s="144" t="s">
        <v>1718</v>
      </c>
    </row>
    <row r="11" spans="1:10" ht="156" x14ac:dyDescent="0.2">
      <c r="A11" s="107" t="s">
        <v>934</v>
      </c>
      <c r="B11" s="102" t="s">
        <v>1320</v>
      </c>
      <c r="C11" s="144" t="s">
        <v>1752</v>
      </c>
      <c r="D11" s="103" t="s">
        <v>923</v>
      </c>
      <c r="E11" s="144" t="s">
        <v>1753</v>
      </c>
      <c r="F11" s="112" t="s">
        <v>46</v>
      </c>
      <c r="G11" s="145" t="s">
        <v>48</v>
      </c>
      <c r="H11" s="110">
        <v>1580</v>
      </c>
      <c r="I11" s="110">
        <v>1580</v>
      </c>
      <c r="J11" s="144" t="s">
        <v>1719</v>
      </c>
    </row>
    <row r="12" spans="1:10" ht="120" x14ac:dyDescent="0.2">
      <c r="A12" s="107" t="s">
        <v>212</v>
      </c>
      <c r="B12" s="101" t="s">
        <v>1271</v>
      </c>
      <c r="C12" s="144" t="s">
        <v>1754</v>
      </c>
      <c r="D12" s="103" t="s">
        <v>1046</v>
      </c>
      <c r="E12" s="144" t="s">
        <v>1047</v>
      </c>
      <c r="F12" s="112" t="s">
        <v>176</v>
      </c>
      <c r="G12" s="112" t="s">
        <v>48</v>
      </c>
      <c r="H12" s="110">
        <v>7800</v>
      </c>
      <c r="I12" s="110">
        <v>7800</v>
      </c>
      <c r="J12" s="144" t="s">
        <v>1720</v>
      </c>
    </row>
    <row r="13" spans="1:10" ht="120" x14ac:dyDescent="0.2">
      <c r="A13" s="107" t="s">
        <v>328</v>
      </c>
      <c r="B13" s="102" t="s">
        <v>1756</v>
      </c>
      <c r="C13" s="144" t="s">
        <v>1757</v>
      </c>
      <c r="D13" s="103" t="s">
        <v>1051</v>
      </c>
      <c r="E13" s="144" t="s">
        <v>1755</v>
      </c>
      <c r="F13" s="112" t="s">
        <v>176</v>
      </c>
      <c r="G13" s="112" t="s">
        <v>54</v>
      </c>
      <c r="H13" s="110">
        <v>3000</v>
      </c>
      <c r="I13" s="110">
        <v>3000</v>
      </c>
      <c r="J13" s="144" t="s">
        <v>1721</v>
      </c>
    </row>
    <row r="14" spans="1:10" ht="72" x14ac:dyDescent="0.2">
      <c r="A14" s="107" t="s">
        <v>330</v>
      </c>
      <c r="B14" s="101" t="s">
        <v>1531</v>
      </c>
      <c r="C14" s="144" t="s">
        <v>2025</v>
      </c>
      <c r="D14" s="103" t="s">
        <v>452</v>
      </c>
      <c r="E14" s="144" t="s">
        <v>2023</v>
      </c>
      <c r="F14" s="112" t="s">
        <v>176</v>
      </c>
      <c r="G14" s="112" t="s">
        <v>48</v>
      </c>
      <c r="H14" s="110">
        <v>4000</v>
      </c>
      <c r="I14" s="110">
        <f>H14-(0)/1000*$I$2</f>
        <v>4000</v>
      </c>
      <c r="J14" s="144" t="s">
        <v>1336</v>
      </c>
    </row>
    <row r="15" spans="1:10" ht="216" x14ac:dyDescent="0.2">
      <c r="A15" s="107" t="s">
        <v>356</v>
      </c>
      <c r="B15" s="101" t="s">
        <v>1531</v>
      </c>
      <c r="C15" s="144" t="s">
        <v>2026</v>
      </c>
      <c r="D15" s="103" t="s">
        <v>456</v>
      </c>
      <c r="E15" s="144" t="s">
        <v>2024</v>
      </c>
      <c r="F15" s="112" t="s">
        <v>176</v>
      </c>
      <c r="G15" s="112" t="s">
        <v>181</v>
      </c>
      <c r="H15" s="110">
        <v>4000</v>
      </c>
      <c r="I15" s="110">
        <f>H15-(0)/1000*$I$2</f>
        <v>4000</v>
      </c>
      <c r="J15" s="144" t="s">
        <v>1333</v>
      </c>
    </row>
    <row r="16" spans="1:10" ht="120" x14ac:dyDescent="0.2">
      <c r="A16" s="107" t="s">
        <v>343</v>
      </c>
      <c r="B16" s="101" t="s">
        <v>1270</v>
      </c>
      <c r="C16" s="144" t="s">
        <v>1758</v>
      </c>
      <c r="D16" s="103" t="s">
        <v>984</v>
      </c>
      <c r="E16" s="144" t="s">
        <v>1759</v>
      </c>
      <c r="F16" s="112" t="s">
        <v>126</v>
      </c>
      <c r="G16" s="112" t="s">
        <v>295</v>
      </c>
      <c r="H16" s="110">
        <v>11000</v>
      </c>
      <c r="I16" s="110">
        <v>11000</v>
      </c>
      <c r="J16" s="144" t="s">
        <v>1722</v>
      </c>
    </row>
    <row r="17" spans="1:10" ht="120" x14ac:dyDescent="0.2">
      <c r="A17" s="107" t="s">
        <v>1045</v>
      </c>
      <c r="B17" s="101" t="s">
        <v>1369</v>
      </c>
      <c r="C17" s="144" t="s">
        <v>1751</v>
      </c>
      <c r="D17" s="103" t="s">
        <v>401</v>
      </c>
      <c r="E17" s="144" t="s">
        <v>1061</v>
      </c>
      <c r="F17" s="112" t="s">
        <v>177</v>
      </c>
      <c r="G17" s="112" t="s">
        <v>177</v>
      </c>
      <c r="H17" s="110">
        <v>700</v>
      </c>
      <c r="I17" s="110">
        <f>H17-(0)/1000*$I$2</f>
        <v>700</v>
      </c>
      <c r="J17" s="144" t="s">
        <v>1641</v>
      </c>
    </row>
    <row r="18" spans="1:10" ht="108" x14ac:dyDescent="0.2">
      <c r="A18" s="107" t="s">
        <v>362</v>
      </c>
      <c r="B18" s="101" t="s">
        <v>1760</v>
      </c>
      <c r="C18" s="114" t="s">
        <v>1912</v>
      </c>
      <c r="D18" s="103" t="s">
        <v>448</v>
      </c>
      <c r="E18" s="144" t="s">
        <v>1761</v>
      </c>
      <c r="F18" s="112" t="s">
        <v>177</v>
      </c>
      <c r="G18" s="112" t="s">
        <v>48</v>
      </c>
      <c r="H18" s="110">
        <v>2000</v>
      </c>
      <c r="I18" s="110">
        <v>2000</v>
      </c>
      <c r="J18" s="144" t="s">
        <v>1642</v>
      </c>
    </row>
    <row r="19" spans="1:10" ht="120" x14ac:dyDescent="0.2">
      <c r="A19" s="107" t="s">
        <v>363</v>
      </c>
      <c r="B19" s="101" t="s">
        <v>1271</v>
      </c>
      <c r="C19" s="144" t="s">
        <v>1762</v>
      </c>
      <c r="D19" s="103" t="s">
        <v>1048</v>
      </c>
      <c r="E19" s="144" t="s">
        <v>1763</v>
      </c>
      <c r="F19" s="112" t="s">
        <v>410</v>
      </c>
      <c r="G19" s="112" t="s">
        <v>48</v>
      </c>
      <c r="H19" s="110">
        <v>2000</v>
      </c>
      <c r="I19" s="110">
        <v>2000</v>
      </c>
      <c r="J19" s="144" t="s">
        <v>1634</v>
      </c>
    </row>
    <row r="20" spans="1:10" ht="96" x14ac:dyDescent="0.2">
      <c r="A20" s="107" t="s">
        <v>392</v>
      </c>
      <c r="B20" s="101" t="s">
        <v>1532</v>
      </c>
      <c r="C20" s="100" t="s">
        <v>1978</v>
      </c>
      <c r="D20" s="103" t="s">
        <v>882</v>
      </c>
      <c r="E20" s="144" t="s">
        <v>1764</v>
      </c>
      <c r="F20" s="112" t="s">
        <v>13</v>
      </c>
      <c r="G20" s="112" t="s">
        <v>8</v>
      </c>
      <c r="H20" s="110">
        <v>500</v>
      </c>
      <c r="I20" s="110">
        <f>H20-(0)/1000*$I$2</f>
        <v>500</v>
      </c>
      <c r="J20" s="144" t="s">
        <v>1264</v>
      </c>
    </row>
    <row r="21" spans="1:10" ht="87.75" customHeight="1" x14ac:dyDescent="0.2">
      <c r="A21" s="107" t="s">
        <v>393</v>
      </c>
      <c r="B21" s="101" t="s">
        <v>1530</v>
      </c>
      <c r="C21" s="144" t="s">
        <v>1979</v>
      </c>
      <c r="D21" s="103" t="s">
        <v>662</v>
      </c>
      <c r="E21" s="144" t="s">
        <v>1765</v>
      </c>
      <c r="F21" s="62" t="s">
        <v>78</v>
      </c>
      <c r="G21" s="111" t="s">
        <v>1091</v>
      </c>
      <c r="H21" s="110">
        <v>175581</v>
      </c>
      <c r="I21" s="110">
        <v>98015</v>
      </c>
      <c r="J21" s="144" t="s">
        <v>1334</v>
      </c>
    </row>
    <row r="22" spans="1:10" ht="144" x14ac:dyDescent="0.2">
      <c r="A22" s="107" t="s">
        <v>394</v>
      </c>
      <c r="B22" s="101" t="s">
        <v>1530</v>
      </c>
      <c r="C22" s="144" t="s">
        <v>2027</v>
      </c>
      <c r="D22" s="103" t="s">
        <v>944</v>
      </c>
      <c r="E22" s="144" t="s">
        <v>1766</v>
      </c>
      <c r="F22" s="112" t="s">
        <v>13</v>
      </c>
      <c r="G22" s="112" t="s">
        <v>181</v>
      </c>
      <c r="H22" s="110">
        <v>2800</v>
      </c>
      <c r="I22" s="110">
        <v>1600</v>
      </c>
      <c r="J22" s="144" t="s">
        <v>1723</v>
      </c>
    </row>
    <row r="23" spans="1:10" ht="72" x14ac:dyDescent="0.2">
      <c r="A23" s="107" t="s">
        <v>395</v>
      </c>
      <c r="B23" s="101" t="s">
        <v>1531</v>
      </c>
      <c r="C23" s="144" t="s">
        <v>2028</v>
      </c>
      <c r="D23" s="103" t="s">
        <v>468</v>
      </c>
      <c r="E23" s="144" t="s">
        <v>2029</v>
      </c>
      <c r="F23" s="112" t="s">
        <v>8</v>
      </c>
      <c r="G23" s="145" t="s">
        <v>14</v>
      </c>
      <c r="H23" s="110">
        <v>23000</v>
      </c>
      <c r="I23" s="110">
        <v>23000</v>
      </c>
      <c r="J23" s="144" t="s">
        <v>1343</v>
      </c>
    </row>
    <row r="24" spans="1:10" ht="72" x14ac:dyDescent="0.2">
      <c r="A24" s="107" t="s">
        <v>396</v>
      </c>
      <c r="B24" s="101" t="s">
        <v>1533</v>
      </c>
      <c r="C24" s="144" t="s">
        <v>2030</v>
      </c>
      <c r="D24" s="103" t="s">
        <v>460</v>
      </c>
      <c r="E24" s="144" t="s">
        <v>1767</v>
      </c>
      <c r="F24" s="112" t="s">
        <v>295</v>
      </c>
      <c r="G24" s="145" t="s">
        <v>48</v>
      </c>
      <c r="H24" s="110">
        <v>100</v>
      </c>
      <c r="I24" s="110">
        <f>H24-(0)/1000*$I$2</f>
        <v>100</v>
      </c>
      <c r="J24" s="144" t="s">
        <v>1301</v>
      </c>
    </row>
    <row r="25" spans="1:10" ht="120" x14ac:dyDescent="0.2">
      <c r="A25" s="107" t="s">
        <v>397</v>
      </c>
      <c r="B25" s="101" t="s">
        <v>1279</v>
      </c>
      <c r="C25" s="144" t="s">
        <v>1768</v>
      </c>
      <c r="D25" s="103" t="s">
        <v>424</v>
      </c>
      <c r="E25" s="144" t="s">
        <v>1769</v>
      </c>
      <c r="F25" s="112" t="s">
        <v>12</v>
      </c>
      <c r="G25" s="112" t="s">
        <v>52</v>
      </c>
      <c r="H25" s="110">
        <v>160</v>
      </c>
      <c r="I25" s="110">
        <f>H25-(0)/1000*$I$2</f>
        <v>160</v>
      </c>
      <c r="J25" s="144" t="s">
        <v>1335</v>
      </c>
    </row>
    <row r="26" spans="1:10" ht="120" x14ac:dyDescent="0.2">
      <c r="A26" s="107" t="s">
        <v>398</v>
      </c>
      <c r="B26" s="102" t="s">
        <v>1756</v>
      </c>
      <c r="C26" s="144" t="s">
        <v>1770</v>
      </c>
      <c r="D26" s="103" t="s">
        <v>1050</v>
      </c>
      <c r="E26" s="144" t="s">
        <v>1755</v>
      </c>
      <c r="F26" s="112" t="s">
        <v>181</v>
      </c>
      <c r="G26" s="112" t="s">
        <v>7</v>
      </c>
      <c r="H26" s="110">
        <v>5600</v>
      </c>
      <c r="I26" s="110">
        <f>H26-(0)/1000*$I$2</f>
        <v>5600</v>
      </c>
      <c r="J26" s="144" t="s">
        <v>1724</v>
      </c>
    </row>
    <row r="27" spans="1:10" ht="96" x14ac:dyDescent="0.2">
      <c r="A27" s="107" t="s">
        <v>403</v>
      </c>
      <c r="B27" s="101" t="s">
        <v>1532</v>
      </c>
      <c r="C27" s="100" t="s">
        <v>1771</v>
      </c>
      <c r="D27" s="103" t="s">
        <v>886</v>
      </c>
      <c r="E27" s="99" t="s">
        <v>253</v>
      </c>
      <c r="F27" s="112" t="s">
        <v>51</v>
      </c>
      <c r="G27" s="112" t="s">
        <v>124</v>
      </c>
      <c r="H27" s="110">
        <v>300</v>
      </c>
      <c r="I27" s="110">
        <f>H27-(0)/1000*$I$2</f>
        <v>300</v>
      </c>
      <c r="J27" s="144" t="s">
        <v>1265</v>
      </c>
    </row>
    <row r="28" spans="1:10" ht="120" x14ac:dyDescent="0.2">
      <c r="A28" s="107" t="s">
        <v>408</v>
      </c>
      <c r="B28" s="101" t="s">
        <v>1269</v>
      </c>
      <c r="C28" s="144" t="s">
        <v>1772</v>
      </c>
      <c r="D28" s="103" t="s">
        <v>1053</v>
      </c>
      <c r="E28" s="144" t="s">
        <v>1773</v>
      </c>
      <c r="F28" s="112" t="s">
        <v>51</v>
      </c>
      <c r="G28" s="112" t="s">
        <v>52</v>
      </c>
      <c r="H28" s="110">
        <v>1200</v>
      </c>
      <c r="I28" s="110">
        <v>1200</v>
      </c>
      <c r="J28" s="144" t="s">
        <v>1642</v>
      </c>
    </row>
    <row r="29" spans="1:10" ht="96" x14ac:dyDescent="0.2">
      <c r="A29" s="107" t="s">
        <v>416</v>
      </c>
      <c r="B29" s="101" t="s">
        <v>1532</v>
      </c>
      <c r="C29" s="100" t="s">
        <v>1774</v>
      </c>
      <c r="D29" s="103" t="s">
        <v>888</v>
      </c>
      <c r="E29" s="144" t="s">
        <v>1044</v>
      </c>
      <c r="F29" s="112" t="s">
        <v>49</v>
      </c>
      <c r="G29" s="112" t="s">
        <v>25</v>
      </c>
      <c r="H29" s="110">
        <v>1000</v>
      </c>
      <c r="I29" s="110">
        <v>1000</v>
      </c>
      <c r="J29" s="144" t="s">
        <v>1266</v>
      </c>
    </row>
    <row r="30" spans="1:10" ht="120" x14ac:dyDescent="0.2">
      <c r="A30" s="107" t="s">
        <v>417</v>
      </c>
      <c r="B30" s="102" t="s">
        <v>1775</v>
      </c>
      <c r="C30" s="144" t="s">
        <v>1776</v>
      </c>
      <c r="D30" s="103" t="s">
        <v>1778</v>
      </c>
      <c r="E30" s="144" t="s">
        <v>1777</v>
      </c>
      <c r="F30" s="112" t="s">
        <v>49</v>
      </c>
      <c r="G30" s="112" t="s">
        <v>9</v>
      </c>
      <c r="H30" s="110">
        <v>2100</v>
      </c>
      <c r="I30" s="110">
        <f>H30-(0)/1000*$I$2</f>
        <v>2100</v>
      </c>
      <c r="J30" s="144" t="s">
        <v>1725</v>
      </c>
    </row>
    <row r="31" spans="1:10" ht="120" x14ac:dyDescent="0.2">
      <c r="A31" s="107" t="s">
        <v>434</v>
      </c>
      <c r="B31" s="101" t="s">
        <v>1684</v>
      </c>
      <c r="C31" s="144" t="s">
        <v>1768</v>
      </c>
      <c r="D31" s="103" t="s">
        <v>423</v>
      </c>
      <c r="E31" s="144" t="s">
        <v>1063</v>
      </c>
      <c r="F31" s="112" t="s">
        <v>49</v>
      </c>
      <c r="G31" s="112" t="s">
        <v>52</v>
      </c>
      <c r="H31" s="110">
        <v>280</v>
      </c>
      <c r="I31" s="110">
        <f>H31-(0)/1000*$I$2</f>
        <v>280</v>
      </c>
      <c r="J31" s="144" t="s">
        <v>1726</v>
      </c>
    </row>
    <row r="32" spans="1:10" ht="120" x14ac:dyDescent="0.2">
      <c r="A32" s="107" t="s">
        <v>1062</v>
      </c>
      <c r="B32" s="101" t="s">
        <v>1281</v>
      </c>
      <c r="C32" s="144" t="s">
        <v>1779</v>
      </c>
      <c r="D32" s="103" t="s">
        <v>1000</v>
      </c>
      <c r="E32" s="144" t="s">
        <v>1534</v>
      </c>
      <c r="F32" s="112" t="s">
        <v>124</v>
      </c>
      <c r="G32" s="112" t="s">
        <v>54</v>
      </c>
      <c r="H32" s="110">
        <v>50</v>
      </c>
      <c r="I32" s="110">
        <f>H32-(0)/1000*$I$2</f>
        <v>50</v>
      </c>
      <c r="J32" s="144" t="s">
        <v>1335</v>
      </c>
    </row>
    <row r="33" spans="1:10" ht="108" x14ac:dyDescent="0.2">
      <c r="A33" s="107" t="s">
        <v>435</v>
      </c>
      <c r="B33" s="101" t="s">
        <v>1531</v>
      </c>
      <c r="C33" s="144" t="s">
        <v>2031</v>
      </c>
      <c r="D33" s="103" t="s">
        <v>477</v>
      </c>
      <c r="E33" s="144" t="s">
        <v>2032</v>
      </c>
      <c r="F33" s="112" t="s">
        <v>124</v>
      </c>
      <c r="G33" s="112" t="s">
        <v>14</v>
      </c>
      <c r="H33" s="110">
        <v>36000</v>
      </c>
      <c r="I33" s="110">
        <v>36000</v>
      </c>
      <c r="J33" s="144" t="s">
        <v>1343</v>
      </c>
    </row>
    <row r="34" spans="1:10" ht="84" x14ac:dyDescent="0.2">
      <c r="A34" s="107" t="s">
        <v>436</v>
      </c>
      <c r="B34" s="101" t="s">
        <v>1535</v>
      </c>
      <c r="C34" s="144" t="s">
        <v>1780</v>
      </c>
      <c r="D34" s="103" t="s">
        <v>818</v>
      </c>
      <c r="E34" s="144" t="s">
        <v>1536</v>
      </c>
      <c r="F34" s="112" t="s">
        <v>54</v>
      </c>
      <c r="G34" s="112" t="s">
        <v>25</v>
      </c>
      <c r="H34" s="110">
        <v>450</v>
      </c>
      <c r="I34" s="110">
        <v>450</v>
      </c>
      <c r="J34" s="144" t="s">
        <v>1315</v>
      </c>
    </row>
    <row r="35" spans="1:10" ht="108" x14ac:dyDescent="0.2">
      <c r="A35" s="107" t="s">
        <v>437</v>
      </c>
      <c r="B35" s="101" t="s">
        <v>1300</v>
      </c>
      <c r="C35" s="144" t="s">
        <v>1886</v>
      </c>
      <c r="D35" s="103" t="s">
        <v>1685</v>
      </c>
      <c r="E35" s="144" t="s">
        <v>1783</v>
      </c>
      <c r="F35" s="62" t="s">
        <v>52</v>
      </c>
      <c r="G35" s="62" t="s">
        <v>22</v>
      </c>
      <c r="H35" s="110">
        <v>9291</v>
      </c>
      <c r="I35" s="110">
        <v>9291</v>
      </c>
      <c r="J35" s="144" t="s">
        <v>1677</v>
      </c>
    </row>
    <row r="36" spans="1:10" ht="120" x14ac:dyDescent="0.2">
      <c r="A36" s="107" t="s">
        <v>447</v>
      </c>
      <c r="B36" s="101" t="s">
        <v>1280</v>
      </c>
      <c r="C36" s="144" t="s">
        <v>1781</v>
      </c>
      <c r="D36" s="103" t="s">
        <v>429</v>
      </c>
      <c r="E36" s="144" t="s">
        <v>1782</v>
      </c>
      <c r="F36" s="112" t="s">
        <v>427</v>
      </c>
      <c r="G36" s="112" t="s">
        <v>5</v>
      </c>
      <c r="H36" s="110">
        <v>50</v>
      </c>
      <c r="I36" s="110">
        <f>H36-(0)/1000*$I$2</f>
        <v>50</v>
      </c>
      <c r="J36" s="144" t="s">
        <v>1643</v>
      </c>
    </row>
    <row r="37" spans="1:10" ht="108" x14ac:dyDescent="0.2">
      <c r="A37" s="107" t="s">
        <v>450</v>
      </c>
      <c r="B37" s="101" t="s">
        <v>1784</v>
      </c>
      <c r="C37" s="144" t="s">
        <v>1980</v>
      </c>
      <c r="D37" s="103" t="s">
        <v>566</v>
      </c>
      <c r="E37" s="144" t="s">
        <v>1785</v>
      </c>
      <c r="F37" s="112" t="s">
        <v>427</v>
      </c>
      <c r="G37" s="112" t="s">
        <v>7</v>
      </c>
      <c r="H37" s="110">
        <v>200</v>
      </c>
      <c r="I37" s="110">
        <v>200</v>
      </c>
      <c r="J37" s="144" t="s">
        <v>1332</v>
      </c>
    </row>
    <row r="38" spans="1:10" ht="72" x14ac:dyDescent="0.2">
      <c r="A38" s="107" t="s">
        <v>543</v>
      </c>
      <c r="B38" s="101" t="s">
        <v>1531</v>
      </c>
      <c r="C38" s="144" t="s">
        <v>2034</v>
      </c>
      <c r="D38" s="103" t="s">
        <v>483</v>
      </c>
      <c r="E38" s="144" t="s">
        <v>2033</v>
      </c>
      <c r="F38" s="112" t="s">
        <v>427</v>
      </c>
      <c r="G38" s="112" t="s">
        <v>84</v>
      </c>
      <c r="H38" s="110">
        <v>12000</v>
      </c>
      <c r="I38" s="110">
        <v>12000</v>
      </c>
      <c r="J38" s="144" t="s">
        <v>1343</v>
      </c>
    </row>
    <row r="39" spans="1:10" ht="84" x14ac:dyDescent="0.2">
      <c r="A39" s="107" t="s">
        <v>552</v>
      </c>
      <c r="B39" s="101" t="s">
        <v>1531</v>
      </c>
      <c r="C39" s="144" t="s">
        <v>2035</v>
      </c>
      <c r="D39" s="103" t="s">
        <v>490</v>
      </c>
      <c r="E39" s="144" t="s">
        <v>2036</v>
      </c>
      <c r="F39" s="112" t="s">
        <v>427</v>
      </c>
      <c r="G39" s="112" t="s">
        <v>488</v>
      </c>
      <c r="H39" s="110">
        <v>24000</v>
      </c>
      <c r="I39" s="110">
        <v>24000</v>
      </c>
      <c r="J39" s="144" t="s">
        <v>1343</v>
      </c>
    </row>
    <row r="40" spans="1:10" ht="120" x14ac:dyDescent="0.2">
      <c r="A40" s="107" t="s">
        <v>1064</v>
      </c>
      <c r="B40" s="101" t="s">
        <v>1314</v>
      </c>
      <c r="C40" s="100" t="s">
        <v>1981</v>
      </c>
      <c r="D40" s="147" t="s">
        <v>981</v>
      </c>
      <c r="E40" s="144" t="s">
        <v>1537</v>
      </c>
      <c r="F40" s="112" t="s">
        <v>132</v>
      </c>
      <c r="G40" s="112" t="s">
        <v>60</v>
      </c>
      <c r="H40" s="110">
        <v>1800</v>
      </c>
      <c r="I40" s="110">
        <v>1800</v>
      </c>
      <c r="J40" s="144" t="s">
        <v>1330</v>
      </c>
    </row>
    <row r="41" spans="1:10" ht="84" x14ac:dyDescent="0.2">
      <c r="A41" s="107" t="s">
        <v>680</v>
      </c>
      <c r="B41" s="101" t="s">
        <v>1531</v>
      </c>
      <c r="C41" s="144" t="s">
        <v>2038</v>
      </c>
      <c r="D41" s="103" t="s">
        <v>503</v>
      </c>
      <c r="E41" s="144" t="s">
        <v>2037</v>
      </c>
      <c r="F41" s="112" t="s">
        <v>132</v>
      </c>
      <c r="G41" s="145" t="s">
        <v>9</v>
      </c>
      <c r="H41" s="110">
        <v>4000</v>
      </c>
      <c r="I41" s="110">
        <f>H41-(0)/1000*$I$2</f>
        <v>4000</v>
      </c>
      <c r="J41" s="144" t="s">
        <v>1343</v>
      </c>
    </row>
    <row r="42" spans="1:10" ht="120" x14ac:dyDescent="0.2">
      <c r="A42" s="107" t="s">
        <v>682</v>
      </c>
      <c r="B42" s="101" t="s">
        <v>1272</v>
      </c>
      <c r="C42" s="144" t="s">
        <v>1786</v>
      </c>
      <c r="D42" s="103" t="s">
        <v>1054</v>
      </c>
      <c r="E42" s="144" t="s">
        <v>1065</v>
      </c>
      <c r="F42" s="112" t="s">
        <v>488</v>
      </c>
      <c r="G42" s="112" t="s">
        <v>60</v>
      </c>
      <c r="H42" s="110">
        <v>200</v>
      </c>
      <c r="I42" s="110">
        <f>H42-(0)/1000*$I$2</f>
        <v>200</v>
      </c>
      <c r="J42" s="144" t="s">
        <v>1331</v>
      </c>
    </row>
    <row r="43" spans="1:10" ht="96" x14ac:dyDescent="0.2">
      <c r="A43" s="107" t="s">
        <v>683</v>
      </c>
      <c r="B43" s="101" t="s">
        <v>1300</v>
      </c>
      <c r="C43" s="144" t="s">
        <v>1887</v>
      </c>
      <c r="D43" s="103" t="s">
        <v>577</v>
      </c>
      <c r="E43" s="144" t="s">
        <v>1787</v>
      </c>
      <c r="F43" s="62" t="s">
        <v>58</v>
      </c>
      <c r="G43" s="62" t="s">
        <v>61</v>
      </c>
      <c r="H43" s="110">
        <v>4509</v>
      </c>
      <c r="I43" s="110">
        <f>H43-(0)/1000*$I$2</f>
        <v>4509</v>
      </c>
      <c r="J43" s="144" t="s">
        <v>1343</v>
      </c>
    </row>
    <row r="44" spans="1:10" ht="84" x14ac:dyDescent="0.2">
      <c r="A44" s="107" t="s">
        <v>684</v>
      </c>
      <c r="B44" s="101" t="s">
        <v>1535</v>
      </c>
      <c r="C44" s="144" t="s">
        <v>1788</v>
      </c>
      <c r="D44" s="103" t="s">
        <v>822</v>
      </c>
      <c r="E44" s="144" t="s">
        <v>1791</v>
      </c>
      <c r="F44" s="112" t="s">
        <v>4</v>
      </c>
      <c r="G44" s="112" t="s">
        <v>7</v>
      </c>
      <c r="H44" s="110">
        <v>800</v>
      </c>
      <c r="I44" s="110">
        <v>800</v>
      </c>
      <c r="J44" s="144" t="s">
        <v>1258</v>
      </c>
    </row>
    <row r="45" spans="1:10" ht="96" x14ac:dyDescent="0.2">
      <c r="A45" s="107" t="s">
        <v>685</v>
      </c>
      <c r="B45" s="101" t="s">
        <v>1532</v>
      </c>
      <c r="C45" s="100" t="s">
        <v>1789</v>
      </c>
      <c r="D45" s="103" t="s">
        <v>897</v>
      </c>
      <c r="E45" s="144" t="s">
        <v>1042</v>
      </c>
      <c r="F45" s="112" t="s">
        <v>4</v>
      </c>
      <c r="G45" s="112" t="s">
        <v>86</v>
      </c>
      <c r="H45" s="110">
        <v>1000</v>
      </c>
      <c r="I45" s="110">
        <f>H45-(901966)/1000*$I$2</f>
        <v>1000</v>
      </c>
      <c r="J45" s="144" t="s">
        <v>1267</v>
      </c>
    </row>
    <row r="46" spans="1:10" ht="120" x14ac:dyDescent="0.2">
      <c r="A46" s="107" t="s">
        <v>688</v>
      </c>
      <c r="B46" s="102" t="s">
        <v>1756</v>
      </c>
      <c r="C46" s="144" t="s">
        <v>1790</v>
      </c>
      <c r="D46" s="103" t="s">
        <v>1052</v>
      </c>
      <c r="E46" s="144" t="s">
        <v>1755</v>
      </c>
      <c r="F46" s="112" t="s">
        <v>4</v>
      </c>
      <c r="G46" s="112" t="s">
        <v>9</v>
      </c>
      <c r="H46" s="110">
        <v>4400</v>
      </c>
      <c r="I46" s="110">
        <f>H46-(0)/1000*$I$2</f>
        <v>4400</v>
      </c>
      <c r="J46" s="144" t="s">
        <v>1727</v>
      </c>
    </row>
    <row r="47" spans="1:10" ht="96" x14ac:dyDescent="0.2">
      <c r="A47" s="107" t="s">
        <v>689</v>
      </c>
      <c r="B47" s="101" t="s">
        <v>1531</v>
      </c>
      <c r="C47" s="144" t="s">
        <v>2038</v>
      </c>
      <c r="D47" s="103" t="s">
        <v>480</v>
      </c>
      <c r="E47" s="144" t="s">
        <v>1073</v>
      </c>
      <c r="F47" s="112" t="s">
        <v>4</v>
      </c>
      <c r="G47" s="112" t="s">
        <v>24</v>
      </c>
      <c r="H47" s="110">
        <v>4000</v>
      </c>
      <c r="I47" s="110">
        <f>H47-(0)/1000*$I$2</f>
        <v>4000</v>
      </c>
      <c r="J47" s="144" t="s">
        <v>2046</v>
      </c>
    </row>
    <row r="48" spans="1:10" ht="84" x14ac:dyDescent="0.2">
      <c r="A48" s="107" t="s">
        <v>690</v>
      </c>
      <c r="B48" s="101" t="s">
        <v>1530</v>
      </c>
      <c r="C48" s="144" t="s">
        <v>1793</v>
      </c>
      <c r="D48" s="103" t="s">
        <v>930</v>
      </c>
      <c r="E48" s="99" t="s">
        <v>1792</v>
      </c>
      <c r="F48" s="112" t="s">
        <v>35</v>
      </c>
      <c r="G48" s="112" t="s">
        <v>230</v>
      </c>
      <c r="H48" s="110">
        <v>700</v>
      </c>
      <c r="I48" s="110">
        <f>H48-(0)/1000*$I$2</f>
        <v>700</v>
      </c>
      <c r="J48" s="144" t="s">
        <v>1324</v>
      </c>
    </row>
    <row r="49" spans="1:10" ht="120" x14ac:dyDescent="0.2">
      <c r="A49" s="107" t="s">
        <v>691</v>
      </c>
      <c r="B49" s="101" t="s">
        <v>1271</v>
      </c>
      <c r="C49" s="144" t="s">
        <v>1794</v>
      </c>
      <c r="D49" s="103" t="s">
        <v>1049</v>
      </c>
      <c r="E49" s="144" t="s">
        <v>1795</v>
      </c>
      <c r="F49" s="112" t="s">
        <v>35</v>
      </c>
      <c r="G49" s="112" t="s">
        <v>11</v>
      </c>
      <c r="H49" s="110">
        <v>7000</v>
      </c>
      <c r="I49" s="110">
        <v>7000</v>
      </c>
      <c r="J49" s="144" t="s">
        <v>1728</v>
      </c>
    </row>
    <row r="50" spans="1:10" ht="111" customHeight="1" x14ac:dyDescent="0.2">
      <c r="A50" s="107" t="s">
        <v>693</v>
      </c>
      <c r="B50" s="101" t="s">
        <v>1686</v>
      </c>
      <c r="C50" s="144" t="s">
        <v>2021</v>
      </c>
      <c r="D50" s="103" t="s">
        <v>588</v>
      </c>
      <c r="E50" s="144" t="s">
        <v>1066</v>
      </c>
      <c r="F50" s="112" t="s">
        <v>35</v>
      </c>
      <c r="G50" s="112" t="s">
        <v>230</v>
      </c>
      <c r="H50" s="110">
        <v>600</v>
      </c>
      <c r="I50" s="110">
        <v>600</v>
      </c>
      <c r="J50" s="144" t="s">
        <v>1332</v>
      </c>
    </row>
    <row r="51" spans="1:10" ht="120" x14ac:dyDescent="0.2">
      <c r="A51" s="107" t="s">
        <v>1291</v>
      </c>
      <c r="B51" s="101" t="s">
        <v>1538</v>
      </c>
      <c r="C51" s="144" t="s">
        <v>1796</v>
      </c>
      <c r="D51" s="103" t="s">
        <v>995</v>
      </c>
      <c r="E51" s="144" t="s">
        <v>1797</v>
      </c>
      <c r="F51" s="112" t="s">
        <v>84</v>
      </c>
      <c r="G51" s="112" t="s">
        <v>7</v>
      </c>
      <c r="H51" s="110">
        <v>2000</v>
      </c>
      <c r="I51" s="110">
        <v>2000</v>
      </c>
      <c r="J51" s="144" t="s">
        <v>1336</v>
      </c>
    </row>
    <row r="52" spans="1:10" ht="96" x14ac:dyDescent="0.2">
      <c r="A52" s="107" t="s">
        <v>696</v>
      </c>
      <c r="B52" s="101" t="s">
        <v>1532</v>
      </c>
      <c r="C52" s="100" t="s">
        <v>1798</v>
      </c>
      <c r="D52" s="103" t="s">
        <v>898</v>
      </c>
      <c r="E52" s="144" t="s">
        <v>1539</v>
      </c>
      <c r="F52" s="112" t="s">
        <v>14</v>
      </c>
      <c r="G52" s="112" t="s">
        <v>7</v>
      </c>
      <c r="H52" s="110">
        <v>800</v>
      </c>
      <c r="I52" s="110">
        <v>800</v>
      </c>
      <c r="J52" s="144" t="s">
        <v>1268</v>
      </c>
    </row>
    <row r="53" spans="1:10" ht="120" x14ac:dyDescent="0.2">
      <c r="A53" s="107" t="s">
        <v>697</v>
      </c>
      <c r="B53" s="102" t="s">
        <v>1687</v>
      </c>
      <c r="C53" s="144" t="s">
        <v>1799</v>
      </c>
      <c r="D53" s="103" t="s">
        <v>994</v>
      </c>
      <c r="E53" s="144" t="s">
        <v>1800</v>
      </c>
      <c r="F53" s="112" t="s">
        <v>14</v>
      </c>
      <c r="G53" s="112" t="s">
        <v>11</v>
      </c>
      <c r="H53" s="110">
        <v>32000</v>
      </c>
      <c r="I53" s="110">
        <v>32000</v>
      </c>
      <c r="J53" s="144" t="s">
        <v>1332</v>
      </c>
    </row>
    <row r="54" spans="1:10" ht="181.5" customHeight="1" x14ac:dyDescent="0.2">
      <c r="A54" s="107" t="s">
        <v>698</v>
      </c>
      <c r="B54" s="101" t="s">
        <v>1688</v>
      </c>
      <c r="C54" s="144" t="s">
        <v>1983</v>
      </c>
      <c r="D54" s="103" t="s">
        <v>587</v>
      </c>
      <c r="E54" s="144" t="s">
        <v>1540</v>
      </c>
      <c r="F54" s="112" t="s">
        <v>14</v>
      </c>
      <c r="G54" s="112" t="s">
        <v>586</v>
      </c>
      <c r="H54" s="110">
        <v>36000</v>
      </c>
      <c r="I54" s="110">
        <v>2000</v>
      </c>
      <c r="J54" s="144" t="s">
        <v>1332</v>
      </c>
    </row>
    <row r="55" spans="1:10" ht="84" x14ac:dyDescent="0.2">
      <c r="A55" s="107" t="s">
        <v>700</v>
      </c>
      <c r="B55" s="101" t="s">
        <v>1686</v>
      </c>
      <c r="C55" s="144" t="s">
        <v>2627</v>
      </c>
      <c r="D55" s="103" t="s">
        <v>1008</v>
      </c>
      <c r="E55" s="144" t="s">
        <v>1067</v>
      </c>
      <c r="F55" s="112" t="s">
        <v>7</v>
      </c>
      <c r="G55" s="112" t="s">
        <v>91</v>
      </c>
      <c r="H55" s="110">
        <v>400</v>
      </c>
      <c r="I55" s="110">
        <f t="shared" ref="I55:I65" si="0">H55-(0)/1000*$I$2</f>
        <v>400</v>
      </c>
      <c r="J55" s="144" t="s">
        <v>1332</v>
      </c>
    </row>
    <row r="56" spans="1:10" ht="72" x14ac:dyDescent="0.2">
      <c r="A56" s="107" t="s">
        <v>704</v>
      </c>
      <c r="B56" s="101" t="s">
        <v>1531</v>
      </c>
      <c r="C56" s="144" t="s">
        <v>2038</v>
      </c>
      <c r="D56" s="103" t="s">
        <v>504</v>
      </c>
      <c r="E56" s="144" t="s">
        <v>1541</v>
      </c>
      <c r="F56" s="112" t="s">
        <v>7</v>
      </c>
      <c r="G56" s="112" t="s">
        <v>93</v>
      </c>
      <c r="H56" s="110">
        <v>300</v>
      </c>
      <c r="I56" s="110">
        <f t="shared" si="0"/>
        <v>300</v>
      </c>
      <c r="J56" s="144" t="s">
        <v>1343</v>
      </c>
    </row>
    <row r="57" spans="1:10" ht="120" x14ac:dyDescent="0.2">
      <c r="A57" s="107" t="s">
        <v>705</v>
      </c>
      <c r="B57" s="101" t="s">
        <v>1274</v>
      </c>
      <c r="C57" s="144" t="s">
        <v>1801</v>
      </c>
      <c r="D57" s="103" t="s">
        <v>1058</v>
      </c>
      <c r="E57" s="144" t="s">
        <v>1055</v>
      </c>
      <c r="F57" s="112" t="s">
        <v>24</v>
      </c>
      <c r="G57" s="112" t="s">
        <v>11</v>
      </c>
      <c r="H57" s="110">
        <v>400</v>
      </c>
      <c r="I57" s="110">
        <f t="shared" si="0"/>
        <v>400</v>
      </c>
      <c r="J57" s="144" t="s">
        <v>1635</v>
      </c>
    </row>
    <row r="58" spans="1:10" ht="156" x14ac:dyDescent="0.2">
      <c r="A58" s="107" t="s">
        <v>706</v>
      </c>
      <c r="B58" s="101" t="s">
        <v>1535</v>
      </c>
      <c r="C58" s="144" t="s">
        <v>1802</v>
      </c>
      <c r="D58" s="103" t="s">
        <v>856</v>
      </c>
      <c r="E58" s="144" t="s">
        <v>1040</v>
      </c>
      <c r="F58" s="112" t="s">
        <v>86</v>
      </c>
      <c r="G58" s="112" t="s">
        <v>22</v>
      </c>
      <c r="H58" s="110">
        <v>4209</v>
      </c>
      <c r="I58" s="110">
        <f t="shared" si="0"/>
        <v>4209</v>
      </c>
      <c r="J58" s="144" t="s">
        <v>1316</v>
      </c>
    </row>
    <row r="59" spans="1:10" ht="96" x14ac:dyDescent="0.2">
      <c r="A59" s="107" t="s">
        <v>721</v>
      </c>
      <c r="B59" s="101" t="s">
        <v>1531</v>
      </c>
      <c r="C59" s="144" t="s">
        <v>1984</v>
      </c>
      <c r="D59" s="103" t="s">
        <v>510</v>
      </c>
      <c r="E59" s="144" t="s">
        <v>1542</v>
      </c>
      <c r="F59" s="112" t="s">
        <v>86</v>
      </c>
      <c r="G59" s="112" t="s">
        <v>511</v>
      </c>
      <c r="H59" s="110">
        <v>1554</v>
      </c>
      <c r="I59" s="110">
        <f t="shared" si="0"/>
        <v>1554</v>
      </c>
      <c r="J59" s="144" t="s">
        <v>512</v>
      </c>
    </row>
    <row r="60" spans="1:10" ht="96" x14ac:dyDescent="0.2">
      <c r="A60" s="107" t="s">
        <v>751</v>
      </c>
      <c r="B60" s="101" t="s">
        <v>1532</v>
      </c>
      <c r="C60" s="100" t="s">
        <v>1803</v>
      </c>
      <c r="D60" s="103" t="s">
        <v>899</v>
      </c>
      <c r="E60" s="144" t="s">
        <v>1804</v>
      </c>
      <c r="F60" s="112" t="s">
        <v>58</v>
      </c>
      <c r="G60" s="112" t="s">
        <v>9</v>
      </c>
      <c r="H60" s="110">
        <v>600</v>
      </c>
      <c r="I60" s="110">
        <f t="shared" si="0"/>
        <v>600</v>
      </c>
      <c r="J60" s="144" t="s">
        <v>1729</v>
      </c>
    </row>
    <row r="61" spans="1:10" ht="72" x14ac:dyDescent="0.2">
      <c r="A61" s="107" t="s">
        <v>752</v>
      </c>
      <c r="B61" s="101" t="s">
        <v>1531</v>
      </c>
      <c r="C61" s="144" t="s">
        <v>1985</v>
      </c>
      <c r="D61" s="103" t="s">
        <v>516</v>
      </c>
      <c r="E61" s="144" t="s">
        <v>1543</v>
      </c>
      <c r="F61" s="112" t="s">
        <v>58</v>
      </c>
      <c r="G61" s="112" t="s">
        <v>58</v>
      </c>
      <c r="H61" s="110">
        <v>800</v>
      </c>
      <c r="I61" s="110">
        <f t="shared" si="0"/>
        <v>800</v>
      </c>
      <c r="J61" s="144" t="s">
        <v>1343</v>
      </c>
    </row>
    <row r="62" spans="1:10" ht="156" x14ac:dyDescent="0.2">
      <c r="A62" s="107" t="s">
        <v>753</v>
      </c>
      <c r="B62" s="101" t="s">
        <v>1535</v>
      </c>
      <c r="C62" s="144" t="s">
        <v>1805</v>
      </c>
      <c r="D62" s="103" t="s">
        <v>857</v>
      </c>
      <c r="E62" s="144" t="s">
        <v>1041</v>
      </c>
      <c r="F62" s="112" t="s">
        <v>91</v>
      </c>
      <c r="G62" s="145" t="s">
        <v>873</v>
      </c>
      <c r="H62" s="110">
        <v>2800</v>
      </c>
      <c r="I62" s="110">
        <f t="shared" si="0"/>
        <v>2800</v>
      </c>
      <c r="J62" s="144" t="s">
        <v>1317</v>
      </c>
    </row>
    <row r="63" spans="1:10" ht="156" x14ac:dyDescent="0.2">
      <c r="A63" s="107" t="s">
        <v>754</v>
      </c>
      <c r="B63" s="101" t="s">
        <v>1535</v>
      </c>
      <c r="C63" s="144" t="s">
        <v>1805</v>
      </c>
      <c r="D63" s="103" t="s">
        <v>1669</v>
      </c>
      <c r="E63" s="144" t="s">
        <v>1806</v>
      </c>
      <c r="F63" s="62" t="s">
        <v>93</v>
      </c>
      <c r="G63" s="111" t="s">
        <v>9</v>
      </c>
      <c r="H63" s="110">
        <v>15000</v>
      </c>
      <c r="I63" s="110">
        <f t="shared" si="0"/>
        <v>15000</v>
      </c>
      <c r="J63" s="144" t="s">
        <v>1670</v>
      </c>
    </row>
    <row r="64" spans="1:10" ht="96" x14ac:dyDescent="0.2">
      <c r="A64" s="107" t="s">
        <v>1070</v>
      </c>
      <c r="B64" s="101" t="s">
        <v>1532</v>
      </c>
      <c r="C64" s="100" t="s">
        <v>1798</v>
      </c>
      <c r="D64" s="103" t="s">
        <v>903</v>
      </c>
      <c r="E64" s="144" t="s">
        <v>1544</v>
      </c>
      <c r="F64" s="112" t="s">
        <v>91</v>
      </c>
      <c r="G64" s="112" t="s">
        <v>95</v>
      </c>
      <c r="H64" s="110">
        <v>200</v>
      </c>
      <c r="I64" s="110">
        <f t="shared" si="0"/>
        <v>200</v>
      </c>
      <c r="J64" s="144" t="s">
        <v>1545</v>
      </c>
    </row>
    <row r="65" spans="1:10" ht="120" x14ac:dyDescent="0.2">
      <c r="A65" s="107" t="s">
        <v>762</v>
      </c>
      <c r="B65" s="101" t="s">
        <v>1275</v>
      </c>
      <c r="C65" s="144" t="s">
        <v>1809</v>
      </c>
      <c r="D65" s="103" t="s">
        <v>1057</v>
      </c>
      <c r="E65" s="144" t="s">
        <v>1056</v>
      </c>
      <c r="F65" s="112" t="s">
        <v>91</v>
      </c>
      <c r="G65" s="112" t="s">
        <v>9</v>
      </c>
      <c r="H65" s="110">
        <v>200</v>
      </c>
      <c r="I65" s="110">
        <f t="shared" si="0"/>
        <v>200</v>
      </c>
      <c r="J65" s="144" t="s">
        <v>1644</v>
      </c>
    </row>
    <row r="66" spans="1:10" ht="72" x14ac:dyDescent="0.2">
      <c r="A66" s="107" t="s">
        <v>1075</v>
      </c>
      <c r="B66" s="101" t="s">
        <v>1807</v>
      </c>
      <c r="C66" s="144" t="s">
        <v>1810</v>
      </c>
      <c r="D66" s="103" t="s">
        <v>596</v>
      </c>
      <c r="E66" s="144" t="s">
        <v>1808</v>
      </c>
      <c r="F66" s="112" t="s">
        <v>91</v>
      </c>
      <c r="G66" s="112" t="s">
        <v>1125</v>
      </c>
      <c r="H66" s="110">
        <v>22914</v>
      </c>
      <c r="I66" s="110">
        <f>H66-(323242749+25894212+30130843+582706+506567+6431012+9466678+2847445+3299873+1773039+730584+2798678+4434391+900000+2970163+8287018+5179344+1545849)/1000*$I$2</f>
        <v>22914</v>
      </c>
      <c r="J66" s="144" t="s">
        <v>1680</v>
      </c>
    </row>
    <row r="67" spans="1:10" ht="195.75" customHeight="1" x14ac:dyDescent="0.2">
      <c r="A67" s="107" t="s">
        <v>1076</v>
      </c>
      <c r="B67" s="101" t="s">
        <v>1300</v>
      </c>
      <c r="C67" s="144" t="s">
        <v>1811</v>
      </c>
      <c r="D67" s="103" t="s">
        <v>605</v>
      </c>
      <c r="E67" s="144" t="s">
        <v>1911</v>
      </c>
      <c r="F67" s="112" t="s">
        <v>137</v>
      </c>
      <c r="G67" s="112" t="s">
        <v>15</v>
      </c>
      <c r="H67" s="110">
        <v>4018</v>
      </c>
      <c r="I67" s="110">
        <v>4018</v>
      </c>
      <c r="J67" s="144" t="s">
        <v>1395</v>
      </c>
    </row>
    <row r="68" spans="1:10" ht="96" x14ac:dyDescent="0.2">
      <c r="A68" s="107" t="s">
        <v>1077</v>
      </c>
      <c r="B68" s="101" t="s">
        <v>1300</v>
      </c>
      <c r="C68" s="144" t="s">
        <v>1811</v>
      </c>
      <c r="D68" s="103" t="s">
        <v>1671</v>
      </c>
      <c r="E68" s="144" t="s">
        <v>1672</v>
      </c>
      <c r="F68" s="62" t="s">
        <v>508</v>
      </c>
      <c r="G68" s="62" t="s">
        <v>16</v>
      </c>
      <c r="H68" s="110">
        <v>5818</v>
      </c>
      <c r="I68" s="110">
        <v>5818</v>
      </c>
      <c r="J68" s="144" t="s">
        <v>1675</v>
      </c>
    </row>
    <row r="69" spans="1:10" ht="84" x14ac:dyDescent="0.2">
      <c r="A69" s="107" t="s">
        <v>1303</v>
      </c>
      <c r="B69" s="101" t="s">
        <v>1300</v>
      </c>
      <c r="C69" s="144" t="s">
        <v>1812</v>
      </c>
      <c r="D69" s="103" t="s">
        <v>1673</v>
      </c>
      <c r="E69" s="144" t="s">
        <v>1674</v>
      </c>
      <c r="F69" s="62" t="s">
        <v>137</v>
      </c>
      <c r="G69" s="62" t="s">
        <v>17</v>
      </c>
      <c r="H69" s="110">
        <v>3490</v>
      </c>
      <c r="I69" s="110">
        <v>3490</v>
      </c>
      <c r="J69" s="144" t="s">
        <v>1676</v>
      </c>
    </row>
    <row r="70" spans="1:10" ht="156" x14ac:dyDescent="0.2">
      <c r="A70" s="107" t="s">
        <v>1078</v>
      </c>
      <c r="B70" s="101" t="s">
        <v>1535</v>
      </c>
      <c r="C70" s="144" t="s">
        <v>1813</v>
      </c>
      <c r="D70" s="103" t="s">
        <v>864</v>
      </c>
      <c r="E70" s="144" t="s">
        <v>1814</v>
      </c>
      <c r="F70" s="112" t="s">
        <v>60</v>
      </c>
      <c r="G70" s="112" t="s">
        <v>95</v>
      </c>
      <c r="H70" s="110">
        <v>50</v>
      </c>
      <c r="I70" s="110">
        <f>H70-(0)/1000*$I$2</f>
        <v>50</v>
      </c>
      <c r="J70" s="144" t="s">
        <v>1259</v>
      </c>
    </row>
    <row r="71" spans="1:10" ht="156" x14ac:dyDescent="0.2">
      <c r="A71" s="107" t="s">
        <v>1079</v>
      </c>
      <c r="B71" s="101" t="s">
        <v>1535</v>
      </c>
      <c r="C71" s="144" t="s">
        <v>1815</v>
      </c>
      <c r="D71" s="103" t="s">
        <v>863</v>
      </c>
      <c r="E71" s="144" t="s">
        <v>1816</v>
      </c>
      <c r="F71" s="112" t="s">
        <v>95</v>
      </c>
      <c r="G71" s="112" t="s">
        <v>9</v>
      </c>
      <c r="H71" s="110">
        <v>19</v>
      </c>
      <c r="I71" s="110">
        <f>H71-(0)/1000*$I$2</f>
        <v>19</v>
      </c>
      <c r="J71" s="144" t="s">
        <v>1260</v>
      </c>
    </row>
    <row r="72" spans="1:10" ht="96" x14ac:dyDescent="0.2">
      <c r="A72" s="107" t="s">
        <v>1192</v>
      </c>
      <c r="B72" s="101" t="s">
        <v>1817</v>
      </c>
      <c r="C72" s="144" t="s">
        <v>1986</v>
      </c>
      <c r="D72" s="103" t="s">
        <v>614</v>
      </c>
      <c r="E72" s="144" t="s">
        <v>1546</v>
      </c>
      <c r="F72" s="112" t="s">
        <v>95</v>
      </c>
      <c r="G72" s="112" t="s">
        <v>104</v>
      </c>
      <c r="H72" s="110">
        <v>1200</v>
      </c>
      <c r="I72" s="110">
        <f>H72-(0)/1000*$I$2</f>
        <v>1200</v>
      </c>
      <c r="J72" s="144" t="s">
        <v>1645</v>
      </c>
    </row>
    <row r="73" spans="1:10" ht="132" x14ac:dyDescent="0.2">
      <c r="A73" s="107" t="s">
        <v>1309</v>
      </c>
      <c r="B73" s="101" t="s">
        <v>1689</v>
      </c>
      <c r="C73" s="144" t="s">
        <v>1914</v>
      </c>
      <c r="D73" s="103" t="s">
        <v>1189</v>
      </c>
      <c r="E73" s="144" t="s">
        <v>1069</v>
      </c>
      <c r="F73" s="112" t="s">
        <v>95</v>
      </c>
      <c r="G73" s="112" t="s">
        <v>21</v>
      </c>
      <c r="H73" s="110">
        <v>10000</v>
      </c>
      <c r="I73" s="110">
        <f>H73-(0)/1000*$I$2</f>
        <v>10000</v>
      </c>
      <c r="J73" s="144" t="s">
        <v>1343</v>
      </c>
    </row>
    <row r="74" spans="1:10" ht="132" x14ac:dyDescent="0.2">
      <c r="A74" s="107" t="s">
        <v>1398</v>
      </c>
      <c r="B74" s="101" t="s">
        <v>1530</v>
      </c>
      <c r="C74" s="144" t="s">
        <v>1987</v>
      </c>
      <c r="D74" s="103" t="s">
        <v>622</v>
      </c>
      <c r="E74" s="144" t="s">
        <v>1043</v>
      </c>
      <c r="F74" s="112" t="s">
        <v>139</v>
      </c>
      <c r="G74" s="112" t="s">
        <v>211</v>
      </c>
      <c r="H74" s="110">
        <v>3500</v>
      </c>
      <c r="I74" s="110">
        <f>H74-(0)/1000*$I$2</f>
        <v>3500</v>
      </c>
      <c r="J74" s="144" t="s">
        <v>1327</v>
      </c>
    </row>
    <row r="75" spans="1:10" ht="84" x14ac:dyDescent="0.2">
      <c r="A75" s="107" t="s">
        <v>1399</v>
      </c>
      <c r="B75" s="101" t="s">
        <v>1288</v>
      </c>
      <c r="C75" s="144" t="s">
        <v>1818</v>
      </c>
      <c r="D75" s="103" t="s">
        <v>597</v>
      </c>
      <c r="E75" s="144" t="s">
        <v>1068</v>
      </c>
      <c r="F75" s="112" t="s">
        <v>211</v>
      </c>
      <c r="G75" s="112" t="s">
        <v>11</v>
      </c>
      <c r="H75" s="110">
        <v>8556</v>
      </c>
      <c r="I75" s="110">
        <v>8556</v>
      </c>
      <c r="J75" s="144" t="s">
        <v>1332</v>
      </c>
    </row>
    <row r="76" spans="1:10" ht="156" x14ac:dyDescent="0.2">
      <c r="A76" s="107" t="s">
        <v>1400</v>
      </c>
      <c r="B76" s="101" t="s">
        <v>1535</v>
      </c>
      <c r="C76" s="144" t="s">
        <v>1819</v>
      </c>
      <c r="D76" s="103" t="s">
        <v>866</v>
      </c>
      <c r="E76" s="144" t="s">
        <v>1547</v>
      </c>
      <c r="F76" s="112" t="s">
        <v>101</v>
      </c>
      <c r="G76" s="145" t="s">
        <v>638</v>
      </c>
      <c r="H76" s="110">
        <v>402</v>
      </c>
      <c r="I76" s="110">
        <f>H76-(0)/1000*$I$2</f>
        <v>402</v>
      </c>
      <c r="J76" s="144" t="s">
        <v>1318</v>
      </c>
    </row>
    <row r="77" spans="1:10" ht="132" x14ac:dyDescent="0.2">
      <c r="A77" s="107" t="s">
        <v>1401</v>
      </c>
      <c r="B77" s="101" t="s">
        <v>1530</v>
      </c>
      <c r="C77" s="144" t="s">
        <v>1988</v>
      </c>
      <c r="D77" s="103" t="s">
        <v>663</v>
      </c>
      <c r="E77" s="144" t="s">
        <v>1548</v>
      </c>
      <c r="F77" s="112" t="s">
        <v>61</v>
      </c>
      <c r="G77" s="145" t="s">
        <v>1367</v>
      </c>
      <c r="H77" s="110">
        <v>2743</v>
      </c>
      <c r="I77" s="110">
        <v>2743</v>
      </c>
      <c r="J77" s="144" t="s">
        <v>1646</v>
      </c>
    </row>
    <row r="78" spans="1:10" ht="60" x14ac:dyDescent="0.2">
      <c r="A78" s="107" t="s">
        <v>1402</v>
      </c>
      <c r="B78" s="101" t="s">
        <v>1530</v>
      </c>
      <c r="C78" s="144" t="s">
        <v>1989</v>
      </c>
      <c r="D78" s="103" t="s">
        <v>933</v>
      </c>
      <c r="E78" s="99" t="s">
        <v>232</v>
      </c>
      <c r="F78" s="112" t="s">
        <v>61</v>
      </c>
      <c r="G78" s="112" t="s">
        <v>61</v>
      </c>
      <c r="H78" s="110">
        <v>270</v>
      </c>
      <c r="I78" s="110">
        <f>H78-(0)/1000*$I$2</f>
        <v>270</v>
      </c>
      <c r="J78" s="144" t="s">
        <v>1325</v>
      </c>
    </row>
    <row r="79" spans="1:10" ht="156" x14ac:dyDescent="0.2">
      <c r="A79" s="107" t="s">
        <v>1403</v>
      </c>
      <c r="B79" s="101" t="s">
        <v>1535</v>
      </c>
      <c r="C79" s="144" t="s">
        <v>1820</v>
      </c>
      <c r="D79" s="103" t="s">
        <v>868</v>
      </c>
      <c r="E79" s="144" t="s">
        <v>869</v>
      </c>
      <c r="F79" s="112" t="s">
        <v>103</v>
      </c>
      <c r="G79" s="112" t="s">
        <v>104</v>
      </c>
      <c r="H79" s="110">
        <v>36</v>
      </c>
      <c r="I79" s="110">
        <f>H79-(0)/1000*$I$2</f>
        <v>36</v>
      </c>
      <c r="J79" s="144" t="s">
        <v>1261</v>
      </c>
    </row>
    <row r="80" spans="1:10" ht="84" x14ac:dyDescent="0.2">
      <c r="A80" s="107" t="s">
        <v>1404</v>
      </c>
      <c r="B80" s="101" t="s">
        <v>1530</v>
      </c>
      <c r="C80" s="144" t="s">
        <v>1821</v>
      </c>
      <c r="D80" s="103" t="s">
        <v>665</v>
      </c>
      <c r="E80" s="99" t="s">
        <v>1549</v>
      </c>
      <c r="F80" s="112" t="s">
        <v>103</v>
      </c>
      <c r="G80" s="145" t="s">
        <v>1122</v>
      </c>
      <c r="H80" s="110">
        <v>1524</v>
      </c>
      <c r="I80" s="110">
        <f>H80-(0)/1000*$I$2</f>
        <v>1524</v>
      </c>
      <c r="J80" s="144" t="s">
        <v>1647</v>
      </c>
    </row>
    <row r="81" spans="1:10" ht="120" x14ac:dyDescent="0.2">
      <c r="A81" s="107" t="s">
        <v>1405</v>
      </c>
      <c r="B81" s="101" t="s">
        <v>1690</v>
      </c>
      <c r="C81" s="144" t="s">
        <v>1822</v>
      </c>
      <c r="D81" s="103" t="s">
        <v>1913</v>
      </c>
      <c r="E81" s="144" t="s">
        <v>1180</v>
      </c>
      <c r="F81" s="112" t="s">
        <v>22</v>
      </c>
      <c r="G81" s="112" t="s">
        <v>638</v>
      </c>
      <c r="H81" s="110">
        <v>15865</v>
      </c>
      <c r="I81" s="110">
        <v>9745</v>
      </c>
      <c r="J81" s="144" t="s">
        <v>1332</v>
      </c>
    </row>
    <row r="82" spans="1:10" ht="96" x14ac:dyDescent="0.2">
      <c r="A82" s="107" t="s">
        <v>1406</v>
      </c>
      <c r="B82" s="101" t="s">
        <v>1300</v>
      </c>
      <c r="C82" s="144" t="s">
        <v>1823</v>
      </c>
      <c r="D82" s="103" t="s">
        <v>1071</v>
      </c>
      <c r="E82" s="144" t="s">
        <v>1550</v>
      </c>
      <c r="F82" s="112" t="s">
        <v>22</v>
      </c>
      <c r="G82" s="112" t="s">
        <v>531</v>
      </c>
      <c r="H82" s="110">
        <v>26036</v>
      </c>
      <c r="I82" s="110">
        <f>H82-(0)/1000*$I$2</f>
        <v>26036</v>
      </c>
      <c r="J82" s="144" t="s">
        <v>1343</v>
      </c>
    </row>
    <row r="83" spans="1:10" ht="144" x14ac:dyDescent="0.2">
      <c r="A83" s="107" t="s">
        <v>1407</v>
      </c>
      <c r="B83" s="101" t="s">
        <v>1535</v>
      </c>
      <c r="C83" s="144" t="s">
        <v>1832</v>
      </c>
      <c r="D83" s="103" t="s">
        <v>871</v>
      </c>
      <c r="E83" s="144" t="s">
        <v>1833</v>
      </c>
      <c r="F83" s="112" t="s">
        <v>104</v>
      </c>
      <c r="G83" s="145" t="s">
        <v>874</v>
      </c>
      <c r="H83" s="110">
        <v>106</v>
      </c>
      <c r="I83" s="110">
        <f>H83-(0)/1000*$I$2</f>
        <v>106</v>
      </c>
      <c r="J83" s="144" t="s">
        <v>1319</v>
      </c>
    </row>
    <row r="84" spans="1:10" ht="96" x14ac:dyDescent="0.2">
      <c r="A84" s="107" t="s">
        <v>1408</v>
      </c>
      <c r="B84" s="101" t="s">
        <v>1300</v>
      </c>
      <c r="C84" s="144" t="s">
        <v>1824</v>
      </c>
      <c r="D84" s="103" t="s">
        <v>1072</v>
      </c>
      <c r="E84" s="144" t="s">
        <v>1825</v>
      </c>
      <c r="F84" s="112" t="s">
        <v>104</v>
      </c>
      <c r="G84" s="112" t="s">
        <v>531</v>
      </c>
      <c r="H84" s="110">
        <v>3909</v>
      </c>
      <c r="I84" s="110">
        <f>H84-(0)/1000*$I$2</f>
        <v>3909</v>
      </c>
      <c r="J84" s="144" t="s">
        <v>1730</v>
      </c>
    </row>
    <row r="85" spans="1:10" ht="72" x14ac:dyDescent="0.2">
      <c r="A85" s="107" t="s">
        <v>1409</v>
      </c>
      <c r="B85" s="101" t="s">
        <v>1531</v>
      </c>
      <c r="C85" s="144" t="s">
        <v>1990</v>
      </c>
      <c r="D85" s="103" t="s">
        <v>527</v>
      </c>
      <c r="E85" s="144" t="s">
        <v>1551</v>
      </c>
      <c r="F85" s="112" t="s">
        <v>104</v>
      </c>
      <c r="G85" s="145" t="s">
        <v>20</v>
      </c>
      <c r="H85" s="110">
        <v>300</v>
      </c>
      <c r="I85" s="110">
        <f>H85-(0)/1000*$I$2</f>
        <v>300</v>
      </c>
      <c r="J85" s="144" t="s">
        <v>1343</v>
      </c>
    </row>
    <row r="86" spans="1:10" ht="144" x14ac:dyDescent="0.2">
      <c r="A86" s="107" t="s">
        <v>1410</v>
      </c>
      <c r="B86" s="101" t="s">
        <v>1535</v>
      </c>
      <c r="C86" s="144" t="s">
        <v>1830</v>
      </c>
      <c r="D86" s="103" t="s">
        <v>877</v>
      </c>
      <c r="E86" s="144" t="s">
        <v>1831</v>
      </c>
      <c r="F86" s="112" t="s">
        <v>16</v>
      </c>
      <c r="G86" s="112" t="s">
        <v>107</v>
      </c>
      <c r="H86" s="110">
        <v>22</v>
      </c>
      <c r="I86" s="110">
        <f>H86-(0)/1000*$I$2</f>
        <v>22</v>
      </c>
      <c r="J86" s="144" t="s">
        <v>1262</v>
      </c>
    </row>
    <row r="87" spans="1:10" ht="120" x14ac:dyDescent="0.2">
      <c r="A87" s="107" t="s">
        <v>1411</v>
      </c>
      <c r="B87" s="101" t="s">
        <v>1276</v>
      </c>
      <c r="C87" s="144" t="s">
        <v>1826</v>
      </c>
      <c r="D87" s="103" t="s">
        <v>387</v>
      </c>
      <c r="E87" s="144" t="s">
        <v>1059</v>
      </c>
      <c r="F87" s="112" t="s">
        <v>16</v>
      </c>
      <c r="G87" s="112" t="s">
        <v>15</v>
      </c>
      <c r="H87" s="110">
        <v>98</v>
      </c>
      <c r="I87" s="110">
        <v>98</v>
      </c>
      <c r="J87" s="144" t="s">
        <v>1334</v>
      </c>
    </row>
    <row r="88" spans="1:10" ht="168" x14ac:dyDescent="0.2">
      <c r="A88" s="107" t="s">
        <v>1412</v>
      </c>
      <c r="B88" s="101" t="s">
        <v>1321</v>
      </c>
      <c r="C88" s="144" t="s">
        <v>1991</v>
      </c>
      <c r="D88" s="103" t="s">
        <v>644</v>
      </c>
      <c r="E88" s="144" t="s">
        <v>1827</v>
      </c>
      <c r="F88" s="112" t="s">
        <v>107</v>
      </c>
      <c r="G88" s="112" t="s">
        <v>63</v>
      </c>
      <c r="H88" s="110">
        <v>3464</v>
      </c>
      <c r="I88" s="110">
        <f>H88-(0)/1000*$I$2</f>
        <v>3464</v>
      </c>
      <c r="J88" s="144" t="s">
        <v>1337</v>
      </c>
    </row>
    <row r="89" spans="1:10" ht="84" x14ac:dyDescent="0.2">
      <c r="A89" s="107" t="s">
        <v>1413</v>
      </c>
      <c r="B89" s="101" t="s">
        <v>1531</v>
      </c>
      <c r="C89" s="144" t="s">
        <v>1992</v>
      </c>
      <c r="D89" s="103" t="s">
        <v>533</v>
      </c>
      <c r="E89" s="144" t="s">
        <v>1074</v>
      </c>
      <c r="F89" s="112" t="s">
        <v>107</v>
      </c>
      <c r="G89" s="145" t="s">
        <v>17</v>
      </c>
      <c r="H89" s="110">
        <v>1300</v>
      </c>
      <c r="I89" s="110">
        <f>H89-(0)/1000*$I$2</f>
        <v>1300</v>
      </c>
      <c r="J89" s="144" t="s">
        <v>1302</v>
      </c>
    </row>
    <row r="90" spans="1:10" ht="96" x14ac:dyDescent="0.2">
      <c r="A90" s="107" t="s">
        <v>1414</v>
      </c>
      <c r="B90" s="101" t="s">
        <v>1287</v>
      </c>
      <c r="C90" s="144" t="s">
        <v>1810</v>
      </c>
      <c r="D90" s="103" t="s">
        <v>1010</v>
      </c>
      <c r="E90" s="144" t="s">
        <v>1828</v>
      </c>
      <c r="F90" s="112" t="s">
        <v>11</v>
      </c>
      <c r="G90" s="112" t="s">
        <v>1094</v>
      </c>
      <c r="H90" s="110">
        <v>5050</v>
      </c>
      <c r="I90" s="110">
        <v>5050</v>
      </c>
      <c r="J90" s="144" t="s">
        <v>1332</v>
      </c>
    </row>
    <row r="91" spans="1:10" ht="72" x14ac:dyDescent="0.2">
      <c r="A91" s="107" t="s">
        <v>1415</v>
      </c>
      <c r="B91" s="101" t="s">
        <v>1531</v>
      </c>
      <c r="C91" s="144" t="s">
        <v>1985</v>
      </c>
      <c r="D91" s="103" t="s">
        <v>1126</v>
      </c>
      <c r="E91" s="144" t="s">
        <v>1257</v>
      </c>
      <c r="F91" s="112" t="s">
        <v>11</v>
      </c>
      <c r="G91" s="145" t="s">
        <v>1098</v>
      </c>
      <c r="H91" s="110">
        <v>100</v>
      </c>
      <c r="I91" s="110">
        <f>H91-(0)/1000*$I$2</f>
        <v>100</v>
      </c>
      <c r="J91" s="144" t="s">
        <v>1344</v>
      </c>
    </row>
    <row r="92" spans="1:10" ht="72" x14ac:dyDescent="0.2">
      <c r="A92" s="107" t="s">
        <v>1416</v>
      </c>
      <c r="B92" s="101" t="s">
        <v>1531</v>
      </c>
      <c r="C92" s="144" t="s">
        <v>1954</v>
      </c>
      <c r="D92" s="103" t="s">
        <v>1127</v>
      </c>
      <c r="E92" s="144" t="s">
        <v>1128</v>
      </c>
      <c r="F92" s="112" t="s">
        <v>11</v>
      </c>
      <c r="G92" s="145" t="s">
        <v>531</v>
      </c>
      <c r="H92" s="110">
        <v>80</v>
      </c>
      <c r="I92" s="110">
        <v>80</v>
      </c>
      <c r="J92" s="144" t="s">
        <v>1345</v>
      </c>
    </row>
    <row r="93" spans="1:10" ht="120" x14ac:dyDescent="0.2">
      <c r="A93" s="107" t="s">
        <v>1417</v>
      </c>
      <c r="B93" s="101" t="s">
        <v>1888</v>
      </c>
      <c r="C93" s="144" t="s">
        <v>1829</v>
      </c>
      <c r="D93" s="103" t="s">
        <v>1097</v>
      </c>
      <c r="E93" s="144" t="s">
        <v>1552</v>
      </c>
      <c r="F93" s="112" t="s">
        <v>1098</v>
      </c>
      <c r="G93" s="112" t="s">
        <v>63</v>
      </c>
      <c r="H93" s="110">
        <v>1000</v>
      </c>
      <c r="I93" s="110">
        <f>H93-(0)/1000*$I$2</f>
        <v>1000</v>
      </c>
      <c r="J93" s="144" t="s">
        <v>1332</v>
      </c>
    </row>
    <row r="94" spans="1:10" ht="84" x14ac:dyDescent="0.2">
      <c r="A94" s="107" t="s">
        <v>1708</v>
      </c>
      <c r="B94" s="101" t="s">
        <v>1535</v>
      </c>
      <c r="C94" s="144" t="s">
        <v>1788</v>
      </c>
      <c r="D94" s="103" t="s">
        <v>1080</v>
      </c>
      <c r="E94" s="99" t="s">
        <v>1909</v>
      </c>
      <c r="F94" s="112" t="s">
        <v>21</v>
      </c>
      <c r="G94" s="112" t="s">
        <v>20</v>
      </c>
      <c r="H94" s="110">
        <v>171</v>
      </c>
      <c r="I94" s="110">
        <v>171</v>
      </c>
      <c r="J94" s="144" t="s">
        <v>1354</v>
      </c>
    </row>
    <row r="95" spans="1:10" ht="144" x14ac:dyDescent="0.2">
      <c r="A95" s="107" t="s">
        <v>1709</v>
      </c>
      <c r="B95" s="101" t="s">
        <v>1535</v>
      </c>
      <c r="C95" s="144" t="s">
        <v>1835</v>
      </c>
      <c r="D95" s="103" t="s">
        <v>1190</v>
      </c>
      <c r="E95" s="144" t="s">
        <v>1834</v>
      </c>
      <c r="F95" s="112" t="s">
        <v>21</v>
      </c>
      <c r="G95" s="112" t="s">
        <v>1089</v>
      </c>
      <c r="H95" s="110">
        <v>754</v>
      </c>
      <c r="I95" s="110">
        <f>H95</f>
        <v>754</v>
      </c>
      <c r="J95" s="144" t="s">
        <v>1648</v>
      </c>
    </row>
    <row r="96" spans="1:10" ht="84" x14ac:dyDescent="0.2">
      <c r="A96" s="107" t="s">
        <v>1418</v>
      </c>
      <c r="B96" s="101" t="s">
        <v>1748</v>
      </c>
      <c r="C96" s="174" t="s">
        <v>1993</v>
      </c>
      <c r="D96" s="177" t="s">
        <v>1198</v>
      </c>
      <c r="E96" s="144"/>
      <c r="F96" s="61" t="s">
        <v>21</v>
      </c>
      <c r="G96" s="61" t="s">
        <v>1750</v>
      </c>
      <c r="H96" s="9"/>
      <c r="I96" s="9"/>
      <c r="J96" s="144"/>
    </row>
    <row r="97" spans="1:10" ht="120" x14ac:dyDescent="0.2">
      <c r="A97" s="107" t="s">
        <v>1419</v>
      </c>
      <c r="B97" s="101" t="s">
        <v>1749</v>
      </c>
      <c r="C97" s="175"/>
      <c r="D97" s="178"/>
      <c r="E97" s="144" t="s">
        <v>1201</v>
      </c>
      <c r="F97" s="112" t="s">
        <v>21</v>
      </c>
      <c r="G97" s="112" t="s">
        <v>1084</v>
      </c>
      <c r="H97" s="110">
        <v>7670</v>
      </c>
      <c r="I97" s="110">
        <v>286</v>
      </c>
      <c r="J97" s="144" t="s">
        <v>1731</v>
      </c>
    </row>
    <row r="98" spans="1:10" ht="120" x14ac:dyDescent="0.2">
      <c r="A98" s="107" t="s">
        <v>1420</v>
      </c>
      <c r="B98" s="101" t="s">
        <v>1915</v>
      </c>
      <c r="C98" s="175"/>
      <c r="D98" s="178"/>
      <c r="E98" s="144" t="s">
        <v>1203</v>
      </c>
      <c r="F98" s="112" t="s">
        <v>21</v>
      </c>
      <c r="G98" s="112" t="s">
        <v>598</v>
      </c>
      <c r="H98" s="110">
        <v>3444</v>
      </c>
      <c r="I98" s="110">
        <v>168</v>
      </c>
      <c r="J98" s="144" t="s">
        <v>1732</v>
      </c>
    </row>
    <row r="99" spans="1:10" ht="120" x14ac:dyDescent="0.2">
      <c r="A99" s="107" t="s">
        <v>1421</v>
      </c>
      <c r="B99" s="101" t="s">
        <v>1916</v>
      </c>
      <c r="C99" s="175"/>
      <c r="D99" s="178"/>
      <c r="E99" s="144" t="s">
        <v>1200</v>
      </c>
      <c r="F99" s="112" t="s">
        <v>531</v>
      </c>
      <c r="G99" s="112" t="s">
        <v>1199</v>
      </c>
      <c r="H99" s="110">
        <v>21318</v>
      </c>
      <c r="I99" s="110">
        <v>1065</v>
      </c>
      <c r="J99" s="144" t="s">
        <v>1733</v>
      </c>
    </row>
    <row r="100" spans="1:10" ht="120" x14ac:dyDescent="0.2">
      <c r="A100" s="107" t="s">
        <v>1422</v>
      </c>
      <c r="B100" s="101" t="s">
        <v>1917</v>
      </c>
      <c r="C100" s="175"/>
      <c r="D100" s="178"/>
      <c r="E100" s="144" t="s">
        <v>1202</v>
      </c>
      <c r="F100" s="112" t="s">
        <v>531</v>
      </c>
      <c r="G100" s="145" t="s">
        <v>2630</v>
      </c>
      <c r="H100" s="110">
        <v>15413</v>
      </c>
      <c r="I100" s="110">
        <v>15413</v>
      </c>
      <c r="J100" s="144" t="s">
        <v>1733</v>
      </c>
    </row>
    <row r="101" spans="1:10" ht="120" x14ac:dyDescent="0.2">
      <c r="A101" s="107" t="s">
        <v>1423</v>
      </c>
      <c r="B101" s="101" t="s">
        <v>1918</v>
      </c>
      <c r="C101" s="175"/>
      <c r="D101" s="178"/>
      <c r="E101" s="144" t="s">
        <v>1204</v>
      </c>
      <c r="F101" s="112" t="s">
        <v>18</v>
      </c>
      <c r="G101" s="145" t="s">
        <v>2630</v>
      </c>
      <c r="H101" s="110">
        <v>26855</v>
      </c>
      <c r="I101" s="110">
        <v>9033</v>
      </c>
      <c r="J101" s="144" t="s">
        <v>1733</v>
      </c>
    </row>
    <row r="102" spans="1:10" ht="108" x14ac:dyDescent="0.2">
      <c r="A102" s="107" t="s">
        <v>1424</v>
      </c>
      <c r="B102" s="101" t="s">
        <v>1919</v>
      </c>
      <c r="C102" s="175"/>
      <c r="D102" s="178"/>
      <c r="E102" s="144" t="s">
        <v>1557</v>
      </c>
      <c r="F102" s="112" t="s">
        <v>20</v>
      </c>
      <c r="G102" s="112" t="s">
        <v>1109</v>
      </c>
      <c r="H102" s="110">
        <v>13546</v>
      </c>
      <c r="I102" s="110">
        <v>12221</v>
      </c>
      <c r="J102" s="144" t="s">
        <v>1734</v>
      </c>
    </row>
    <row r="103" spans="1:10" ht="120" x14ac:dyDescent="0.2">
      <c r="A103" s="107" t="s">
        <v>1425</v>
      </c>
      <c r="B103" s="101" t="s">
        <v>1920</v>
      </c>
      <c r="C103" s="175"/>
      <c r="D103" s="178"/>
      <c r="E103" s="144" t="s">
        <v>1558</v>
      </c>
      <c r="F103" s="112" t="s">
        <v>20</v>
      </c>
      <c r="G103" s="112" t="s">
        <v>598</v>
      </c>
      <c r="H103" s="110">
        <v>4317</v>
      </c>
      <c r="I103" s="110">
        <v>270</v>
      </c>
      <c r="J103" s="144" t="s">
        <v>1733</v>
      </c>
    </row>
    <row r="104" spans="1:10" ht="108" x14ac:dyDescent="0.2">
      <c r="A104" s="107" t="s">
        <v>1426</v>
      </c>
      <c r="B104" s="101" t="s">
        <v>1921</v>
      </c>
      <c r="C104" s="175"/>
      <c r="D104" s="178"/>
      <c r="E104" s="144" t="s">
        <v>1564</v>
      </c>
      <c r="F104" s="112" t="s">
        <v>1088</v>
      </c>
      <c r="G104" s="145" t="s">
        <v>2630</v>
      </c>
      <c r="H104" s="110">
        <v>23266</v>
      </c>
      <c r="I104" s="110">
        <v>15745</v>
      </c>
      <c r="J104" s="144" t="s">
        <v>1736</v>
      </c>
    </row>
    <row r="105" spans="1:10" ht="120" x14ac:dyDescent="0.2">
      <c r="A105" s="107" t="s">
        <v>1427</v>
      </c>
      <c r="B105" s="101" t="s">
        <v>1922</v>
      </c>
      <c r="C105" s="175"/>
      <c r="D105" s="178"/>
      <c r="E105" s="144" t="s">
        <v>1573</v>
      </c>
      <c r="F105" s="112" t="s">
        <v>613</v>
      </c>
      <c r="G105" s="112" t="s">
        <v>1090</v>
      </c>
      <c r="H105" s="110">
        <v>11286</v>
      </c>
      <c r="I105" s="110">
        <v>565</v>
      </c>
      <c r="J105" s="144" t="s">
        <v>1733</v>
      </c>
    </row>
    <row r="106" spans="1:10" ht="108" x14ac:dyDescent="0.2">
      <c r="A106" s="107" t="s">
        <v>1197</v>
      </c>
      <c r="B106" s="101" t="s">
        <v>1923</v>
      </c>
      <c r="C106" s="175"/>
      <c r="D106" s="178"/>
      <c r="E106" s="144" t="s">
        <v>1205</v>
      </c>
      <c r="F106" s="112" t="s">
        <v>872</v>
      </c>
      <c r="G106" s="111" t="s">
        <v>1639</v>
      </c>
      <c r="H106" s="110">
        <v>21400</v>
      </c>
      <c r="I106" s="110">
        <v>19000</v>
      </c>
      <c r="J106" s="144" t="s">
        <v>1737</v>
      </c>
    </row>
    <row r="107" spans="1:10" ht="108" x14ac:dyDescent="0.2">
      <c r="A107" s="107" t="s">
        <v>1428</v>
      </c>
      <c r="B107" s="101" t="s">
        <v>1924</v>
      </c>
      <c r="C107" s="175"/>
      <c r="D107" s="178"/>
      <c r="E107" s="144" t="s">
        <v>1206</v>
      </c>
      <c r="F107" s="112" t="s">
        <v>1122</v>
      </c>
      <c r="G107" s="111" t="s">
        <v>1639</v>
      </c>
      <c r="H107" s="110">
        <v>13783</v>
      </c>
      <c r="I107" s="110">
        <v>12389</v>
      </c>
      <c r="J107" s="144" t="s">
        <v>1734</v>
      </c>
    </row>
    <row r="108" spans="1:10" ht="108" x14ac:dyDescent="0.2">
      <c r="A108" s="107" t="s">
        <v>1429</v>
      </c>
      <c r="B108" s="101" t="s">
        <v>1925</v>
      </c>
      <c r="C108" s="176"/>
      <c r="D108" s="179"/>
      <c r="E108" s="144" t="s">
        <v>1207</v>
      </c>
      <c r="F108" s="112" t="s">
        <v>1122</v>
      </c>
      <c r="G108" s="111" t="s">
        <v>1639</v>
      </c>
      <c r="H108" s="110">
        <v>13512</v>
      </c>
      <c r="I108" s="110">
        <v>11412</v>
      </c>
      <c r="J108" s="144" t="s">
        <v>1734</v>
      </c>
    </row>
    <row r="109" spans="1:10" ht="72" x14ac:dyDescent="0.2">
      <c r="A109" s="107" t="s">
        <v>1430</v>
      </c>
      <c r="B109" s="101" t="s">
        <v>1917</v>
      </c>
      <c r="C109" s="174" t="s">
        <v>1927</v>
      </c>
      <c r="D109" s="103" t="s">
        <v>1701</v>
      </c>
      <c r="E109" s="144" t="s">
        <v>1702</v>
      </c>
      <c r="F109" s="62" t="s">
        <v>1199</v>
      </c>
      <c r="G109" s="62" t="s">
        <v>1199</v>
      </c>
      <c r="H109" s="110">
        <v>4436</v>
      </c>
      <c r="I109" s="110">
        <f>H109-(0/1000*$I$3)</f>
        <v>4436</v>
      </c>
      <c r="J109" s="49" t="s">
        <v>1717</v>
      </c>
    </row>
    <row r="110" spans="1:10" ht="87.75" customHeight="1" x14ac:dyDescent="0.2">
      <c r="A110" s="107" t="s">
        <v>1431</v>
      </c>
      <c r="B110" s="101" t="s">
        <v>1926</v>
      </c>
      <c r="C110" s="176"/>
      <c r="D110" s="103" t="s">
        <v>1703</v>
      </c>
      <c r="E110" s="144" t="s">
        <v>1704</v>
      </c>
      <c r="F110" s="62" t="s">
        <v>1199</v>
      </c>
      <c r="G110" s="111" t="s">
        <v>1199</v>
      </c>
      <c r="H110" s="110">
        <v>592</v>
      </c>
      <c r="I110" s="110">
        <f>H110-(0/1000*$I$3)</f>
        <v>592</v>
      </c>
      <c r="J110" s="49" t="s">
        <v>1717</v>
      </c>
    </row>
    <row r="111" spans="1:10" ht="96" x14ac:dyDescent="0.2">
      <c r="A111" s="107" t="s">
        <v>1432</v>
      </c>
      <c r="B111" s="102" t="s">
        <v>1320</v>
      </c>
      <c r="C111" s="144" t="s">
        <v>1836</v>
      </c>
      <c r="D111" s="103" t="s">
        <v>1086</v>
      </c>
      <c r="E111" s="144" t="s">
        <v>1837</v>
      </c>
      <c r="F111" s="145" t="s">
        <v>531</v>
      </c>
      <c r="G111" s="145" t="s">
        <v>17</v>
      </c>
      <c r="H111" s="110">
        <v>124</v>
      </c>
      <c r="I111" s="110">
        <f>H111-(0)/1000*$I$2</f>
        <v>124</v>
      </c>
      <c r="J111" s="144" t="s">
        <v>1353</v>
      </c>
    </row>
    <row r="112" spans="1:10" ht="84" x14ac:dyDescent="0.2">
      <c r="A112" s="107" t="s">
        <v>1433</v>
      </c>
      <c r="B112" s="101" t="s">
        <v>1530</v>
      </c>
      <c r="C112" s="144" t="s">
        <v>1994</v>
      </c>
      <c r="D112" s="103" t="s">
        <v>1168</v>
      </c>
      <c r="E112" s="99" t="s">
        <v>1553</v>
      </c>
      <c r="F112" s="112" t="s">
        <v>531</v>
      </c>
      <c r="G112" s="112" t="s">
        <v>15</v>
      </c>
      <c r="H112" s="110">
        <v>2326</v>
      </c>
      <c r="I112" s="110">
        <f>H112-(0)/1000*$I$2</f>
        <v>2326</v>
      </c>
      <c r="J112" s="144" t="s">
        <v>1554</v>
      </c>
    </row>
    <row r="113" spans="1:10" ht="96" x14ac:dyDescent="0.2">
      <c r="A113" s="107" t="s">
        <v>1434</v>
      </c>
      <c r="B113" s="101" t="s">
        <v>1300</v>
      </c>
      <c r="C113" s="144" t="s">
        <v>1838</v>
      </c>
      <c r="D113" s="103" t="s">
        <v>1174</v>
      </c>
      <c r="E113" s="144" t="s">
        <v>1555</v>
      </c>
      <c r="F113" s="112" t="s">
        <v>18</v>
      </c>
      <c r="G113" s="112" t="s">
        <v>22</v>
      </c>
      <c r="H113" s="110">
        <v>7358</v>
      </c>
      <c r="I113" s="110">
        <f>H113-(0)/1000*$I$2</f>
        <v>7358</v>
      </c>
      <c r="J113" s="144" t="s">
        <v>1343</v>
      </c>
    </row>
    <row r="114" spans="1:10" ht="60" x14ac:dyDescent="0.2">
      <c r="A114" s="107" t="s">
        <v>1435</v>
      </c>
      <c r="B114" s="102" t="s">
        <v>1691</v>
      </c>
      <c r="C114" s="144" t="s">
        <v>1839</v>
      </c>
      <c r="D114" s="103" t="s">
        <v>1856</v>
      </c>
      <c r="E114" s="144" t="s">
        <v>1191</v>
      </c>
      <c r="F114" s="112" t="s">
        <v>18</v>
      </c>
      <c r="G114" s="112" t="s">
        <v>2049</v>
      </c>
      <c r="H114" s="110">
        <v>6</v>
      </c>
      <c r="I114" s="110">
        <v>6</v>
      </c>
      <c r="J114" s="144" t="s">
        <v>1306</v>
      </c>
    </row>
    <row r="115" spans="1:10" ht="144" x14ac:dyDescent="0.2">
      <c r="A115" s="107" t="s">
        <v>1436</v>
      </c>
      <c r="B115" s="101" t="s">
        <v>1535</v>
      </c>
      <c r="C115" s="144" t="s">
        <v>1840</v>
      </c>
      <c r="D115" s="103" t="s">
        <v>1364</v>
      </c>
      <c r="E115" s="144" t="s">
        <v>1841</v>
      </c>
      <c r="F115" s="112" t="s">
        <v>1365</v>
      </c>
      <c r="G115" s="112" t="s">
        <v>2050</v>
      </c>
      <c r="H115" s="110">
        <v>80</v>
      </c>
      <c r="I115" s="110">
        <f>H115-(0)/1000*$I$2</f>
        <v>80</v>
      </c>
      <c r="J115" s="144" t="s">
        <v>1366</v>
      </c>
    </row>
    <row r="116" spans="1:10" ht="96" x14ac:dyDescent="0.2">
      <c r="A116" s="107" t="s">
        <v>1437</v>
      </c>
      <c r="B116" s="102" t="s">
        <v>1320</v>
      </c>
      <c r="C116" s="144" t="s">
        <v>1843</v>
      </c>
      <c r="D116" s="103" t="s">
        <v>1087</v>
      </c>
      <c r="E116" s="144" t="s">
        <v>1842</v>
      </c>
      <c r="F116" s="145" t="s">
        <v>20</v>
      </c>
      <c r="G116" s="145" t="s">
        <v>19</v>
      </c>
      <c r="H116" s="110">
        <v>119</v>
      </c>
      <c r="I116" s="110">
        <f>H116-(0)/1000*$I$2</f>
        <v>119</v>
      </c>
      <c r="J116" s="144" t="s">
        <v>1323</v>
      </c>
    </row>
    <row r="117" spans="1:10" ht="96" x14ac:dyDescent="0.2">
      <c r="A117" s="107" t="s">
        <v>1438</v>
      </c>
      <c r="B117" s="101" t="s">
        <v>1530</v>
      </c>
      <c r="C117" s="144" t="s">
        <v>1995</v>
      </c>
      <c r="D117" s="103" t="s">
        <v>1169</v>
      </c>
      <c r="E117" s="99" t="s">
        <v>1170</v>
      </c>
      <c r="F117" s="112" t="s">
        <v>20</v>
      </c>
      <c r="G117" s="145" t="s">
        <v>17</v>
      </c>
      <c r="H117" s="110">
        <v>2307</v>
      </c>
      <c r="I117" s="110">
        <f>H117-(0)/1000*$I$2</f>
        <v>2307</v>
      </c>
      <c r="J117" s="144" t="s">
        <v>1649</v>
      </c>
    </row>
    <row r="118" spans="1:10" ht="132" x14ac:dyDescent="0.2">
      <c r="A118" s="107" t="s">
        <v>1439</v>
      </c>
      <c r="B118" s="101" t="s">
        <v>1187</v>
      </c>
      <c r="C118" s="144" t="s">
        <v>1844</v>
      </c>
      <c r="D118" s="103" t="s">
        <v>1188</v>
      </c>
      <c r="E118" s="144" t="s">
        <v>1556</v>
      </c>
      <c r="F118" s="112" t="s">
        <v>20</v>
      </c>
      <c r="G118" s="112" t="s">
        <v>638</v>
      </c>
      <c r="H118" s="110">
        <v>11528</v>
      </c>
      <c r="I118" s="110">
        <v>11528</v>
      </c>
      <c r="J118" s="144" t="s">
        <v>1340</v>
      </c>
    </row>
    <row r="119" spans="1:10" ht="180" x14ac:dyDescent="0.2">
      <c r="A119" s="107" t="s">
        <v>1440</v>
      </c>
      <c r="B119" s="101" t="s">
        <v>1531</v>
      </c>
      <c r="C119" s="144" t="s">
        <v>1996</v>
      </c>
      <c r="D119" s="103" t="s">
        <v>1129</v>
      </c>
      <c r="E119" s="144" t="s">
        <v>1845</v>
      </c>
      <c r="F119" s="112" t="s">
        <v>20</v>
      </c>
      <c r="G119" s="145" t="s">
        <v>63</v>
      </c>
      <c r="H119" s="110">
        <v>400</v>
      </c>
      <c r="I119" s="110">
        <f>H119-(0)/1000*$I$2</f>
        <v>400</v>
      </c>
      <c r="J119" s="144" t="s">
        <v>1735</v>
      </c>
    </row>
    <row r="120" spans="1:10" ht="132" x14ac:dyDescent="0.2">
      <c r="A120" s="107" t="s">
        <v>1441</v>
      </c>
      <c r="B120" s="101" t="s">
        <v>1530</v>
      </c>
      <c r="C120" s="144" t="s">
        <v>1997</v>
      </c>
      <c r="D120" s="103" t="s">
        <v>1171</v>
      </c>
      <c r="E120" s="99" t="s">
        <v>1559</v>
      </c>
      <c r="F120" s="112" t="s">
        <v>63</v>
      </c>
      <c r="G120" s="145" t="s">
        <v>1093</v>
      </c>
      <c r="H120" s="110">
        <v>3911</v>
      </c>
      <c r="I120" s="110">
        <v>3512</v>
      </c>
      <c r="J120" s="144" t="s">
        <v>1650</v>
      </c>
    </row>
    <row r="121" spans="1:10" ht="96" x14ac:dyDescent="0.2">
      <c r="A121" s="107" t="s">
        <v>1442</v>
      </c>
      <c r="B121" s="101" t="s">
        <v>1313</v>
      </c>
      <c r="C121" s="144" t="s">
        <v>1998</v>
      </c>
      <c r="D121" s="103" t="s">
        <v>1092</v>
      </c>
      <c r="E121" s="99" t="s">
        <v>1560</v>
      </c>
      <c r="F121" s="112" t="s">
        <v>63</v>
      </c>
      <c r="G121" s="112" t="s">
        <v>1093</v>
      </c>
      <c r="H121" s="110">
        <v>324</v>
      </c>
      <c r="I121" s="110">
        <v>324</v>
      </c>
      <c r="J121" s="144" t="s">
        <v>1651</v>
      </c>
    </row>
    <row r="122" spans="1:10" ht="72" x14ac:dyDescent="0.2">
      <c r="A122" s="107" t="s">
        <v>1443</v>
      </c>
      <c r="B122" s="101" t="s">
        <v>1531</v>
      </c>
      <c r="C122" s="144" t="s">
        <v>1999</v>
      </c>
      <c r="D122" s="103" t="s">
        <v>1130</v>
      </c>
      <c r="E122" s="144" t="s">
        <v>1134</v>
      </c>
      <c r="F122" s="112" t="s">
        <v>63</v>
      </c>
      <c r="G122" s="145" t="s">
        <v>1088</v>
      </c>
      <c r="H122" s="110">
        <v>1215</v>
      </c>
      <c r="I122" s="110">
        <f>H122-(0)/1000*$I$2</f>
        <v>1215</v>
      </c>
      <c r="J122" s="144" t="s">
        <v>1343</v>
      </c>
    </row>
    <row r="123" spans="1:10" ht="120" x14ac:dyDescent="0.2">
      <c r="A123" s="107" t="s">
        <v>1444</v>
      </c>
      <c r="B123" s="101" t="s">
        <v>1561</v>
      </c>
      <c r="C123" s="144" t="s">
        <v>1846</v>
      </c>
      <c r="D123" s="103" t="s">
        <v>1104</v>
      </c>
      <c r="E123" s="144" t="s">
        <v>1847</v>
      </c>
      <c r="F123" s="112" t="s">
        <v>1088</v>
      </c>
      <c r="G123" s="112" t="s">
        <v>15</v>
      </c>
      <c r="H123" s="110">
        <v>567</v>
      </c>
      <c r="I123" s="110">
        <f>H123-(0)/1000*$I$2</f>
        <v>567</v>
      </c>
      <c r="J123" s="144" t="s">
        <v>1652</v>
      </c>
    </row>
    <row r="124" spans="1:10" ht="120" x14ac:dyDescent="0.2">
      <c r="A124" s="107" t="s">
        <v>1445</v>
      </c>
      <c r="B124" s="101" t="s">
        <v>1369</v>
      </c>
      <c r="C124" s="144" t="s">
        <v>1848</v>
      </c>
      <c r="D124" s="103" t="s">
        <v>1116</v>
      </c>
      <c r="E124" s="144" t="s">
        <v>1562</v>
      </c>
      <c r="F124" s="112" t="s">
        <v>1088</v>
      </c>
      <c r="G124" s="112" t="s">
        <v>1093</v>
      </c>
      <c r="H124" s="110">
        <v>2030</v>
      </c>
      <c r="I124" s="110">
        <v>1065</v>
      </c>
      <c r="J124" s="144" t="s">
        <v>1335</v>
      </c>
    </row>
    <row r="125" spans="1:10" ht="120" x14ac:dyDescent="0.2">
      <c r="A125" s="107" t="s">
        <v>1446</v>
      </c>
      <c r="B125" s="101" t="s">
        <v>1279</v>
      </c>
      <c r="C125" s="144" t="s">
        <v>1849</v>
      </c>
      <c r="D125" s="103" t="s">
        <v>1115</v>
      </c>
      <c r="E125" s="144" t="s">
        <v>1563</v>
      </c>
      <c r="F125" s="112" t="s">
        <v>1088</v>
      </c>
      <c r="G125" s="112" t="s">
        <v>638</v>
      </c>
      <c r="H125" s="110">
        <v>4455</v>
      </c>
      <c r="I125" s="110">
        <v>4455</v>
      </c>
      <c r="J125" s="144" t="s">
        <v>1332</v>
      </c>
    </row>
    <row r="126" spans="1:10" ht="192" x14ac:dyDescent="0.2">
      <c r="A126" s="107" t="s">
        <v>1447</v>
      </c>
      <c r="B126" s="101" t="s">
        <v>1282</v>
      </c>
      <c r="C126" s="144" t="s">
        <v>2000</v>
      </c>
      <c r="D126" s="103" t="s">
        <v>1182</v>
      </c>
      <c r="E126" s="144" t="s">
        <v>1181</v>
      </c>
      <c r="F126" s="112" t="s">
        <v>1088</v>
      </c>
      <c r="G126" s="145" t="s">
        <v>1103</v>
      </c>
      <c r="H126" s="110">
        <v>1823</v>
      </c>
      <c r="I126" s="110">
        <f>H126-(0)/1000*$I$2</f>
        <v>1823</v>
      </c>
      <c r="J126" s="144" t="s">
        <v>1332</v>
      </c>
    </row>
    <row r="127" spans="1:10" ht="96" x14ac:dyDescent="0.2">
      <c r="A127" s="107" t="s">
        <v>1448</v>
      </c>
      <c r="B127" s="101" t="s">
        <v>1850</v>
      </c>
      <c r="C127" s="144" t="s">
        <v>1851</v>
      </c>
      <c r="D127" s="103" t="s">
        <v>1179</v>
      </c>
      <c r="E127" s="144" t="s">
        <v>1852</v>
      </c>
      <c r="F127" s="112" t="s">
        <v>1088</v>
      </c>
      <c r="G127" s="112" t="s">
        <v>1082</v>
      </c>
      <c r="H127" s="110">
        <v>695</v>
      </c>
      <c r="I127" s="110">
        <v>695</v>
      </c>
      <c r="J127" s="144" t="s">
        <v>1342</v>
      </c>
    </row>
    <row r="128" spans="1:10" ht="96" x14ac:dyDescent="0.2">
      <c r="A128" s="107" t="s">
        <v>1449</v>
      </c>
      <c r="B128" s="101" t="s">
        <v>1565</v>
      </c>
      <c r="C128" s="144" t="s">
        <v>2001</v>
      </c>
      <c r="D128" s="103" t="s">
        <v>1161</v>
      </c>
      <c r="E128" s="144" t="s">
        <v>1160</v>
      </c>
      <c r="F128" s="112" t="s">
        <v>1088</v>
      </c>
      <c r="G128" s="145" t="s">
        <v>1088</v>
      </c>
      <c r="H128" s="110">
        <v>50</v>
      </c>
      <c r="I128" s="110">
        <f t="shared" ref="I128:I136" si="1">H128-(0)/1000*$I$2</f>
        <v>50</v>
      </c>
      <c r="J128" s="144" t="s">
        <v>1678</v>
      </c>
    </row>
    <row r="129" spans="1:10" ht="96" x14ac:dyDescent="0.2">
      <c r="A129" s="107" t="s">
        <v>1450</v>
      </c>
      <c r="B129" s="101" t="s">
        <v>1300</v>
      </c>
      <c r="C129" s="144" t="s">
        <v>1853</v>
      </c>
      <c r="D129" s="103" t="s">
        <v>1175</v>
      </c>
      <c r="E129" s="144" t="s">
        <v>1566</v>
      </c>
      <c r="F129" s="112" t="s">
        <v>17</v>
      </c>
      <c r="G129" s="112" t="s">
        <v>19</v>
      </c>
      <c r="H129" s="110">
        <v>601</v>
      </c>
      <c r="I129" s="110">
        <f t="shared" si="1"/>
        <v>601</v>
      </c>
      <c r="J129" s="144" t="s">
        <v>1653</v>
      </c>
    </row>
    <row r="130" spans="1:10" ht="108" x14ac:dyDescent="0.2">
      <c r="A130" s="107" t="s">
        <v>1451</v>
      </c>
      <c r="B130" s="101" t="s">
        <v>1530</v>
      </c>
      <c r="C130" s="144" t="s">
        <v>1928</v>
      </c>
      <c r="D130" s="103" t="s">
        <v>1196</v>
      </c>
      <c r="E130" s="144" t="s">
        <v>1195</v>
      </c>
      <c r="F130" s="112" t="s">
        <v>19</v>
      </c>
      <c r="G130" s="145" t="s">
        <v>638</v>
      </c>
      <c r="H130" s="110">
        <v>381</v>
      </c>
      <c r="I130" s="110">
        <f t="shared" si="1"/>
        <v>381</v>
      </c>
      <c r="J130" s="144" t="s">
        <v>1328</v>
      </c>
    </row>
    <row r="131" spans="1:10" ht="84" x14ac:dyDescent="0.2">
      <c r="A131" s="107" t="s">
        <v>1452</v>
      </c>
      <c r="B131" s="101" t="s">
        <v>1531</v>
      </c>
      <c r="C131" s="144" t="s">
        <v>1948</v>
      </c>
      <c r="D131" s="103" t="s">
        <v>1131</v>
      </c>
      <c r="E131" s="144" t="s">
        <v>1854</v>
      </c>
      <c r="F131" s="112" t="s">
        <v>19</v>
      </c>
      <c r="G131" s="145" t="s">
        <v>19</v>
      </c>
      <c r="H131" s="110">
        <v>85</v>
      </c>
      <c r="I131" s="110">
        <f t="shared" si="1"/>
        <v>85</v>
      </c>
      <c r="J131" s="144" t="s">
        <v>1343</v>
      </c>
    </row>
    <row r="132" spans="1:10" ht="72" x14ac:dyDescent="0.2">
      <c r="A132" s="107" t="s">
        <v>1453</v>
      </c>
      <c r="B132" s="101" t="s">
        <v>1531</v>
      </c>
      <c r="C132" s="144" t="s">
        <v>1950</v>
      </c>
      <c r="D132" s="103" t="s">
        <v>1132</v>
      </c>
      <c r="E132" s="144" t="s">
        <v>1567</v>
      </c>
      <c r="F132" s="112" t="s">
        <v>19</v>
      </c>
      <c r="G132" s="145" t="s">
        <v>610</v>
      </c>
      <c r="H132" s="110">
        <v>1630</v>
      </c>
      <c r="I132" s="110">
        <f t="shared" si="1"/>
        <v>1630</v>
      </c>
      <c r="J132" s="144" t="s">
        <v>1343</v>
      </c>
    </row>
    <row r="133" spans="1:10" ht="72" x14ac:dyDescent="0.2">
      <c r="A133" s="107" t="s">
        <v>1454</v>
      </c>
      <c r="B133" s="101" t="s">
        <v>1531</v>
      </c>
      <c r="C133" s="144" t="s">
        <v>2002</v>
      </c>
      <c r="D133" s="103" t="s">
        <v>1133</v>
      </c>
      <c r="E133" s="144" t="s">
        <v>1135</v>
      </c>
      <c r="F133" s="112" t="s">
        <v>19</v>
      </c>
      <c r="G133" s="145" t="s">
        <v>598</v>
      </c>
      <c r="H133" s="110">
        <v>200</v>
      </c>
      <c r="I133" s="110">
        <f t="shared" si="1"/>
        <v>200</v>
      </c>
      <c r="J133" s="144" t="s">
        <v>1333</v>
      </c>
    </row>
    <row r="134" spans="1:10" ht="180" x14ac:dyDescent="0.2">
      <c r="A134" s="107" t="s">
        <v>1710</v>
      </c>
      <c r="B134" s="101" t="s">
        <v>1889</v>
      </c>
      <c r="C134" s="144" t="s">
        <v>1855</v>
      </c>
      <c r="D134" s="103" t="s">
        <v>1183</v>
      </c>
      <c r="E134" s="144" t="s">
        <v>1568</v>
      </c>
      <c r="F134" s="112" t="s">
        <v>15</v>
      </c>
      <c r="G134" s="112" t="s">
        <v>1082</v>
      </c>
      <c r="H134" s="110">
        <v>1130</v>
      </c>
      <c r="I134" s="110">
        <f t="shared" si="1"/>
        <v>1130</v>
      </c>
      <c r="J134" s="144" t="s">
        <v>1332</v>
      </c>
    </row>
    <row r="135" spans="1:10" ht="120" x14ac:dyDescent="0.2">
      <c r="A135" s="107" t="s">
        <v>1455</v>
      </c>
      <c r="B135" s="99" t="s">
        <v>2041</v>
      </c>
      <c r="C135" s="144" t="s">
        <v>2042</v>
      </c>
      <c r="D135" s="103" t="s">
        <v>2043</v>
      </c>
      <c r="E135" s="144" t="s">
        <v>2044</v>
      </c>
      <c r="F135" s="62" t="s">
        <v>15</v>
      </c>
      <c r="G135" s="111" t="s">
        <v>2047</v>
      </c>
      <c r="H135" s="110">
        <v>37550</v>
      </c>
      <c r="I135" s="110">
        <f>H135-(15683489+585646+990259+432139+408474)/1000*$H$3</f>
        <v>37550</v>
      </c>
      <c r="J135" s="49" t="s">
        <v>1341</v>
      </c>
    </row>
    <row r="136" spans="1:10" ht="72" x14ac:dyDescent="0.2">
      <c r="A136" s="107" t="s">
        <v>1456</v>
      </c>
      <c r="B136" s="101" t="s">
        <v>1531</v>
      </c>
      <c r="C136" s="144" t="s">
        <v>1950</v>
      </c>
      <c r="D136" s="103" t="s">
        <v>1140</v>
      </c>
      <c r="E136" s="144" t="s">
        <v>1569</v>
      </c>
      <c r="F136" s="112" t="s">
        <v>15</v>
      </c>
      <c r="G136" s="145" t="s">
        <v>1144</v>
      </c>
      <c r="H136" s="110">
        <v>300</v>
      </c>
      <c r="I136" s="110">
        <f t="shared" si="1"/>
        <v>300</v>
      </c>
      <c r="J136" s="144" t="s">
        <v>1347</v>
      </c>
    </row>
    <row r="137" spans="1:10" ht="180" x14ac:dyDescent="0.2">
      <c r="A137" s="107" t="s">
        <v>1457</v>
      </c>
      <c r="B137" s="101" t="s">
        <v>1278</v>
      </c>
      <c r="C137" s="144" t="s">
        <v>1857</v>
      </c>
      <c r="D137" s="103" t="s">
        <v>1184</v>
      </c>
      <c r="E137" s="144" t="s">
        <v>1858</v>
      </c>
      <c r="F137" s="112" t="s">
        <v>598</v>
      </c>
      <c r="G137" s="112" t="s">
        <v>1109</v>
      </c>
      <c r="H137" s="110">
        <v>3265</v>
      </c>
      <c r="I137" s="110">
        <v>3265</v>
      </c>
      <c r="J137" s="144" t="s">
        <v>1332</v>
      </c>
    </row>
    <row r="138" spans="1:10" ht="192" x14ac:dyDescent="0.2">
      <c r="A138" s="107" t="s">
        <v>1458</v>
      </c>
      <c r="B138" s="101" t="s">
        <v>1690</v>
      </c>
      <c r="C138" s="144" t="s">
        <v>2003</v>
      </c>
      <c r="D138" s="103" t="s">
        <v>1186</v>
      </c>
      <c r="E138" s="144" t="s">
        <v>1570</v>
      </c>
      <c r="F138" s="112" t="s">
        <v>598</v>
      </c>
      <c r="G138" s="112" t="s">
        <v>1089</v>
      </c>
      <c r="H138" s="110">
        <v>160</v>
      </c>
      <c r="I138" s="110">
        <f>H138-(0)/1000*$I$2</f>
        <v>160</v>
      </c>
      <c r="J138" s="144" t="s">
        <v>1332</v>
      </c>
    </row>
    <row r="139" spans="1:10" ht="180" x14ac:dyDescent="0.2">
      <c r="A139" s="107" t="s">
        <v>1459</v>
      </c>
      <c r="B139" s="101" t="s">
        <v>1285</v>
      </c>
      <c r="C139" s="144" t="s">
        <v>1859</v>
      </c>
      <c r="D139" s="103" t="s">
        <v>1185</v>
      </c>
      <c r="E139" s="144" t="s">
        <v>1571</v>
      </c>
      <c r="F139" s="112" t="s">
        <v>598</v>
      </c>
      <c r="G139" s="112" t="s">
        <v>613</v>
      </c>
      <c r="H139" s="110">
        <v>10830</v>
      </c>
      <c r="I139" s="110">
        <v>10830</v>
      </c>
      <c r="J139" s="144" t="s">
        <v>1332</v>
      </c>
    </row>
    <row r="140" spans="1:10" ht="144" x14ac:dyDescent="0.2">
      <c r="A140" s="107" t="s">
        <v>1460</v>
      </c>
      <c r="B140" s="101" t="s">
        <v>1285</v>
      </c>
      <c r="C140" s="144" t="s">
        <v>1860</v>
      </c>
      <c r="D140" s="103" t="s">
        <v>1219</v>
      </c>
      <c r="E140" s="144" t="s">
        <v>1218</v>
      </c>
      <c r="F140" s="112" t="s">
        <v>1089</v>
      </c>
      <c r="G140" s="112" t="s">
        <v>610</v>
      </c>
      <c r="H140" s="110">
        <v>80</v>
      </c>
      <c r="I140" s="110">
        <f t="shared" ref="I140:I146" si="2">H140-(0)/1000*$I$2</f>
        <v>80</v>
      </c>
      <c r="J140" s="144" t="s">
        <v>1286</v>
      </c>
    </row>
    <row r="141" spans="1:10" ht="84" x14ac:dyDescent="0.2">
      <c r="A141" s="107" t="s">
        <v>1461</v>
      </c>
      <c r="B141" s="101" t="s">
        <v>1531</v>
      </c>
      <c r="C141" s="144" t="s">
        <v>2004</v>
      </c>
      <c r="D141" s="103" t="s">
        <v>1137</v>
      </c>
      <c r="E141" s="144" t="s">
        <v>1136</v>
      </c>
      <c r="F141" s="112" t="s">
        <v>1089</v>
      </c>
      <c r="G141" s="145" t="s">
        <v>610</v>
      </c>
      <c r="H141" s="110">
        <v>300</v>
      </c>
      <c r="I141" s="110">
        <f t="shared" si="2"/>
        <v>300</v>
      </c>
      <c r="J141" s="144" t="s">
        <v>1654</v>
      </c>
    </row>
    <row r="142" spans="1:10" ht="144" x14ac:dyDescent="0.2">
      <c r="A142" s="107" t="s">
        <v>1462</v>
      </c>
      <c r="B142" s="101" t="s">
        <v>1535</v>
      </c>
      <c r="C142" s="144" t="s">
        <v>1863</v>
      </c>
      <c r="D142" s="103" t="s">
        <v>1358</v>
      </c>
      <c r="E142" s="144" t="s">
        <v>1572</v>
      </c>
      <c r="F142" s="112" t="s">
        <v>1359</v>
      </c>
      <c r="G142" s="112" t="s">
        <v>1360</v>
      </c>
      <c r="H142" s="110">
        <v>9</v>
      </c>
      <c r="I142" s="110">
        <f t="shared" si="2"/>
        <v>9</v>
      </c>
      <c r="J142" s="144" t="s">
        <v>1362</v>
      </c>
    </row>
    <row r="143" spans="1:10" ht="84" x14ac:dyDescent="0.2">
      <c r="A143" s="107" t="s">
        <v>1463</v>
      </c>
      <c r="B143" s="101" t="s">
        <v>1530</v>
      </c>
      <c r="C143" s="144" t="s">
        <v>2005</v>
      </c>
      <c r="D143" s="103" t="s">
        <v>1172</v>
      </c>
      <c r="E143" s="99" t="s">
        <v>1173</v>
      </c>
      <c r="F143" s="112" t="s">
        <v>610</v>
      </c>
      <c r="G143" s="112" t="s">
        <v>872</v>
      </c>
      <c r="H143" s="110">
        <v>1247</v>
      </c>
      <c r="I143" s="110">
        <f t="shared" si="2"/>
        <v>1247</v>
      </c>
      <c r="J143" s="144" t="s">
        <v>1326</v>
      </c>
    </row>
    <row r="144" spans="1:10" ht="144" x14ac:dyDescent="0.2">
      <c r="A144" s="107" t="s">
        <v>1464</v>
      </c>
      <c r="B144" s="101" t="s">
        <v>1535</v>
      </c>
      <c r="C144" s="144" t="s">
        <v>1862</v>
      </c>
      <c r="D144" s="103" t="s">
        <v>1361</v>
      </c>
      <c r="E144" s="144" t="s">
        <v>1861</v>
      </c>
      <c r="F144" s="145" t="s">
        <v>610</v>
      </c>
      <c r="G144" s="112" t="s">
        <v>1094</v>
      </c>
      <c r="H144" s="110">
        <v>40</v>
      </c>
      <c r="I144" s="110">
        <f t="shared" si="2"/>
        <v>40</v>
      </c>
      <c r="J144" s="144" t="s">
        <v>1363</v>
      </c>
    </row>
    <row r="145" spans="1:10" ht="72" x14ac:dyDescent="0.2">
      <c r="A145" s="107" t="s">
        <v>1465</v>
      </c>
      <c r="B145" s="101" t="s">
        <v>1531</v>
      </c>
      <c r="C145" s="144" t="s">
        <v>1966</v>
      </c>
      <c r="D145" s="103" t="s">
        <v>1138</v>
      </c>
      <c r="E145" s="144" t="s">
        <v>1143</v>
      </c>
      <c r="F145" s="112" t="s">
        <v>613</v>
      </c>
      <c r="G145" s="145" t="s">
        <v>1144</v>
      </c>
      <c r="H145" s="110">
        <v>100</v>
      </c>
      <c r="I145" s="110">
        <f t="shared" si="2"/>
        <v>100</v>
      </c>
      <c r="J145" s="144" t="s">
        <v>1343</v>
      </c>
    </row>
    <row r="146" spans="1:10" ht="120" x14ac:dyDescent="0.2">
      <c r="A146" s="107" t="s">
        <v>1466</v>
      </c>
      <c r="B146" s="101" t="s">
        <v>1532</v>
      </c>
      <c r="C146" s="100" t="s">
        <v>1929</v>
      </c>
      <c r="D146" s="103" t="s">
        <v>1081</v>
      </c>
      <c r="E146" s="144" t="s">
        <v>1574</v>
      </c>
      <c r="F146" s="112" t="s">
        <v>1144</v>
      </c>
      <c r="G146" s="145" t="s">
        <v>638</v>
      </c>
      <c r="H146" s="110">
        <v>460</v>
      </c>
      <c r="I146" s="110">
        <f t="shared" si="2"/>
        <v>460</v>
      </c>
      <c r="J146" s="144" t="s">
        <v>1322</v>
      </c>
    </row>
    <row r="147" spans="1:10" ht="156" x14ac:dyDescent="0.2">
      <c r="A147" s="107" t="s">
        <v>1467</v>
      </c>
      <c r="B147" s="101" t="s">
        <v>1289</v>
      </c>
      <c r="C147" s="144" t="s">
        <v>2628</v>
      </c>
      <c r="D147" s="103" t="s">
        <v>1220</v>
      </c>
      <c r="E147" s="144" t="s">
        <v>1575</v>
      </c>
      <c r="F147" s="112" t="s">
        <v>1144</v>
      </c>
      <c r="G147" s="112" t="s">
        <v>638</v>
      </c>
      <c r="H147" s="110">
        <v>10851</v>
      </c>
      <c r="I147" s="110">
        <v>10851</v>
      </c>
      <c r="J147" s="144" t="s">
        <v>1335</v>
      </c>
    </row>
    <row r="148" spans="1:10" ht="72" x14ac:dyDescent="0.2">
      <c r="A148" s="107" t="s">
        <v>1468</v>
      </c>
      <c r="B148" s="101" t="s">
        <v>1531</v>
      </c>
      <c r="C148" s="144" t="s">
        <v>1999</v>
      </c>
      <c r="D148" s="103" t="s">
        <v>1139</v>
      </c>
      <c r="E148" s="144" t="s">
        <v>1145</v>
      </c>
      <c r="F148" s="112" t="s">
        <v>1144</v>
      </c>
      <c r="G148" s="145" t="s">
        <v>1144</v>
      </c>
      <c r="H148" s="110">
        <v>60</v>
      </c>
      <c r="I148" s="110">
        <f>H148-(0)/1000*$I$2</f>
        <v>60</v>
      </c>
      <c r="J148" s="144" t="s">
        <v>1346</v>
      </c>
    </row>
    <row r="149" spans="1:10" ht="192" x14ac:dyDescent="0.2">
      <c r="A149" s="107" t="s">
        <v>1469</v>
      </c>
      <c r="B149" s="101" t="s">
        <v>1693</v>
      </c>
      <c r="C149" s="144" t="s">
        <v>1930</v>
      </c>
      <c r="D149" s="103" t="s">
        <v>1211</v>
      </c>
      <c r="E149" s="144" t="s">
        <v>1210</v>
      </c>
      <c r="F149" s="112" t="s">
        <v>1094</v>
      </c>
      <c r="G149" s="112" t="s">
        <v>1093</v>
      </c>
      <c r="H149" s="110">
        <v>5137</v>
      </c>
      <c r="I149" s="110">
        <v>5137</v>
      </c>
      <c r="J149" s="144" t="s">
        <v>1655</v>
      </c>
    </row>
    <row r="150" spans="1:10" ht="120" x14ac:dyDescent="0.2">
      <c r="A150" s="107" t="s">
        <v>1470</v>
      </c>
      <c r="B150" s="101" t="s">
        <v>1694</v>
      </c>
      <c r="C150" s="144" t="s">
        <v>1931</v>
      </c>
      <c r="D150" s="103" t="s">
        <v>1229</v>
      </c>
      <c r="E150" s="144" t="s">
        <v>1864</v>
      </c>
      <c r="F150" s="112" t="s">
        <v>1094</v>
      </c>
      <c r="G150" s="112" t="s">
        <v>638</v>
      </c>
      <c r="H150" s="110">
        <v>6700</v>
      </c>
      <c r="I150" s="110">
        <v>6700</v>
      </c>
      <c r="J150" s="144" t="s">
        <v>1642</v>
      </c>
    </row>
    <row r="151" spans="1:10" ht="96" x14ac:dyDescent="0.2">
      <c r="A151" s="107" t="s">
        <v>1471</v>
      </c>
      <c r="B151" s="101" t="s">
        <v>1300</v>
      </c>
      <c r="C151" s="144" t="s">
        <v>1865</v>
      </c>
      <c r="D151" s="103" t="s">
        <v>1176</v>
      </c>
      <c r="E151" s="144" t="s">
        <v>1866</v>
      </c>
      <c r="F151" s="112" t="s">
        <v>1094</v>
      </c>
      <c r="G151" s="112" t="s">
        <v>1103</v>
      </c>
      <c r="H151" s="110">
        <v>281</v>
      </c>
      <c r="I151" s="110">
        <v>281</v>
      </c>
      <c r="J151" s="144" t="s">
        <v>1656</v>
      </c>
    </row>
    <row r="152" spans="1:10" ht="180" x14ac:dyDescent="0.2">
      <c r="A152" s="107" t="s">
        <v>1472</v>
      </c>
      <c r="B152" s="101" t="s">
        <v>1531</v>
      </c>
      <c r="C152" s="144" t="s">
        <v>1933</v>
      </c>
      <c r="D152" s="103" t="s">
        <v>1147</v>
      </c>
      <c r="E152" s="144" t="s">
        <v>1146</v>
      </c>
      <c r="F152" s="112" t="s">
        <v>1094</v>
      </c>
      <c r="G152" s="145" t="s">
        <v>872</v>
      </c>
      <c r="H152" s="110">
        <v>400</v>
      </c>
      <c r="I152" s="110">
        <f>H152-(0)/1000*$I$2</f>
        <v>400</v>
      </c>
      <c r="J152" s="144" t="s">
        <v>1657</v>
      </c>
    </row>
    <row r="153" spans="1:10" ht="144" x14ac:dyDescent="0.2">
      <c r="A153" s="107" t="s">
        <v>1473</v>
      </c>
      <c r="B153" s="101" t="s">
        <v>1531</v>
      </c>
      <c r="C153" s="144" t="s">
        <v>2006</v>
      </c>
      <c r="D153" s="103" t="s">
        <v>1141</v>
      </c>
      <c r="E153" s="144" t="s">
        <v>1867</v>
      </c>
      <c r="F153" s="112" t="s">
        <v>1094</v>
      </c>
      <c r="G153" s="145" t="s">
        <v>1082</v>
      </c>
      <c r="H153" s="110">
        <v>600</v>
      </c>
      <c r="I153" s="110">
        <f>H153-(0)/1000*$I$2</f>
        <v>600</v>
      </c>
      <c r="J153" s="144" t="s">
        <v>1658</v>
      </c>
    </row>
    <row r="154" spans="1:10" ht="120" x14ac:dyDescent="0.2">
      <c r="A154" s="107" t="s">
        <v>1474</v>
      </c>
      <c r="B154" s="102" t="s">
        <v>1756</v>
      </c>
      <c r="C154" s="144" t="s">
        <v>1868</v>
      </c>
      <c r="D154" s="103" t="s">
        <v>1368</v>
      </c>
      <c r="E154" s="144" t="s">
        <v>1869</v>
      </c>
      <c r="F154" s="112" t="s">
        <v>872</v>
      </c>
      <c r="G154" s="112" t="s">
        <v>1093</v>
      </c>
      <c r="H154" s="110">
        <v>475</v>
      </c>
      <c r="I154" s="110">
        <f>H154-(0)/1000*$I$2</f>
        <v>475</v>
      </c>
      <c r="J154" s="99" t="s">
        <v>1659</v>
      </c>
    </row>
    <row r="155" spans="1:10" ht="132" x14ac:dyDescent="0.2">
      <c r="A155" s="107" t="s">
        <v>1475</v>
      </c>
      <c r="B155" s="101" t="s">
        <v>1690</v>
      </c>
      <c r="C155" s="144" t="s">
        <v>2007</v>
      </c>
      <c r="D155" s="103" t="s">
        <v>1111</v>
      </c>
      <c r="E155" s="144" t="s">
        <v>1870</v>
      </c>
      <c r="F155" s="112" t="s">
        <v>872</v>
      </c>
      <c r="G155" s="112" t="s">
        <v>638</v>
      </c>
      <c r="H155" s="110">
        <v>190</v>
      </c>
      <c r="I155" s="110">
        <f>H155-(0)/1000*$I$2</f>
        <v>190</v>
      </c>
      <c r="J155" s="144" t="s">
        <v>1332</v>
      </c>
    </row>
    <row r="156" spans="1:10" ht="144" x14ac:dyDescent="0.2">
      <c r="A156" s="107" t="s">
        <v>1711</v>
      </c>
      <c r="B156" s="101" t="s">
        <v>1576</v>
      </c>
      <c r="C156" s="144" t="s">
        <v>1871</v>
      </c>
      <c r="D156" s="103" t="s">
        <v>1117</v>
      </c>
      <c r="E156" s="144" t="s">
        <v>1577</v>
      </c>
      <c r="F156" s="112" t="s">
        <v>872</v>
      </c>
      <c r="G156" s="145" t="s">
        <v>1109</v>
      </c>
      <c r="H156" s="110">
        <v>91</v>
      </c>
      <c r="I156" s="110">
        <v>91</v>
      </c>
      <c r="J156" s="144" t="s">
        <v>1335</v>
      </c>
    </row>
    <row r="157" spans="1:10" ht="96" x14ac:dyDescent="0.2">
      <c r="A157" s="107" t="s">
        <v>1476</v>
      </c>
      <c r="B157" s="101" t="s">
        <v>1695</v>
      </c>
      <c r="C157" s="144" t="s">
        <v>2009</v>
      </c>
      <c r="D157" s="103" t="s">
        <v>1213</v>
      </c>
      <c r="E157" s="144" t="s">
        <v>1212</v>
      </c>
      <c r="F157" s="112" t="s">
        <v>872</v>
      </c>
      <c r="G157" s="112" t="s">
        <v>638</v>
      </c>
      <c r="H157" s="110">
        <v>167</v>
      </c>
      <c r="I157" s="110">
        <f t="shared" ref="I157:I162" si="3">H157-(0)/1000*$I$2</f>
        <v>167</v>
      </c>
      <c r="J157" s="144" t="s">
        <v>1338</v>
      </c>
    </row>
    <row r="158" spans="1:10" ht="180" x14ac:dyDescent="0.2">
      <c r="A158" s="107" t="s">
        <v>1477</v>
      </c>
      <c r="B158" s="101" t="s">
        <v>1580</v>
      </c>
      <c r="C158" s="144" t="s">
        <v>2010</v>
      </c>
      <c r="D158" s="103" t="s">
        <v>1215</v>
      </c>
      <c r="E158" s="144" t="s">
        <v>1216</v>
      </c>
      <c r="F158" s="112" t="s">
        <v>872</v>
      </c>
      <c r="G158" s="112" t="s">
        <v>872</v>
      </c>
      <c r="H158" s="110">
        <v>500</v>
      </c>
      <c r="I158" s="110">
        <f t="shared" si="3"/>
        <v>500</v>
      </c>
      <c r="J158" s="144" t="s">
        <v>1217</v>
      </c>
    </row>
    <row r="159" spans="1:10" ht="84" x14ac:dyDescent="0.2">
      <c r="A159" s="107" t="s">
        <v>1712</v>
      </c>
      <c r="B159" s="101" t="s">
        <v>1578</v>
      </c>
      <c r="C159" s="144" t="s">
        <v>1872</v>
      </c>
      <c r="D159" s="103" t="s">
        <v>1178</v>
      </c>
      <c r="E159" s="144" t="s">
        <v>1579</v>
      </c>
      <c r="F159" s="112" t="s">
        <v>872</v>
      </c>
      <c r="G159" s="112" t="s">
        <v>1082</v>
      </c>
      <c r="H159" s="110">
        <v>1547</v>
      </c>
      <c r="I159" s="110">
        <f t="shared" si="3"/>
        <v>1547</v>
      </c>
      <c r="J159" s="144" t="s">
        <v>1658</v>
      </c>
    </row>
    <row r="160" spans="1:10" ht="108" x14ac:dyDescent="0.2">
      <c r="A160" s="107" t="s">
        <v>1713</v>
      </c>
      <c r="B160" s="101" t="s">
        <v>1285</v>
      </c>
      <c r="C160" s="144" t="s">
        <v>1932</v>
      </c>
      <c r="D160" s="103" t="s">
        <v>1118</v>
      </c>
      <c r="E160" s="144" t="s">
        <v>1120</v>
      </c>
      <c r="F160" s="112" t="s">
        <v>1093</v>
      </c>
      <c r="G160" s="112" t="s">
        <v>638</v>
      </c>
      <c r="H160" s="110">
        <v>1990</v>
      </c>
      <c r="I160" s="110">
        <f t="shared" si="3"/>
        <v>1990</v>
      </c>
      <c r="J160" s="144" t="s">
        <v>1283</v>
      </c>
    </row>
    <row r="161" spans="1:10" ht="228" x14ac:dyDescent="0.2">
      <c r="A161" s="107" t="s">
        <v>1478</v>
      </c>
      <c r="B161" s="101" t="s">
        <v>1531</v>
      </c>
      <c r="C161" s="144" t="s">
        <v>1933</v>
      </c>
      <c r="D161" s="103" t="s">
        <v>1142</v>
      </c>
      <c r="E161" s="144" t="s">
        <v>1148</v>
      </c>
      <c r="F161" s="112" t="s">
        <v>1093</v>
      </c>
      <c r="G161" s="145" t="s">
        <v>1109</v>
      </c>
      <c r="H161" s="110">
        <v>800</v>
      </c>
      <c r="I161" s="110">
        <f t="shared" si="3"/>
        <v>800</v>
      </c>
      <c r="J161" s="144" t="s">
        <v>1658</v>
      </c>
    </row>
    <row r="162" spans="1:10" ht="108" x14ac:dyDescent="0.2">
      <c r="A162" s="107" t="s">
        <v>1479</v>
      </c>
      <c r="B162" s="101" t="s">
        <v>1580</v>
      </c>
      <c r="C162" s="144" t="s">
        <v>2008</v>
      </c>
      <c r="D162" s="103" t="s">
        <v>1222</v>
      </c>
      <c r="E162" s="144" t="s">
        <v>1223</v>
      </c>
      <c r="F162" s="112" t="s">
        <v>1091</v>
      </c>
      <c r="G162" s="112" t="s">
        <v>1082</v>
      </c>
      <c r="H162" s="110">
        <v>338</v>
      </c>
      <c r="I162" s="110">
        <f t="shared" si="3"/>
        <v>338</v>
      </c>
      <c r="J162" s="144" t="s">
        <v>1221</v>
      </c>
    </row>
    <row r="163" spans="1:10" ht="252" x14ac:dyDescent="0.2">
      <c r="A163" s="107" t="s">
        <v>1480</v>
      </c>
      <c r="B163" s="101" t="s">
        <v>1297</v>
      </c>
      <c r="C163" s="144" t="s">
        <v>2011</v>
      </c>
      <c r="D163" s="103" t="s">
        <v>1228</v>
      </c>
      <c r="E163" s="144" t="s">
        <v>1227</v>
      </c>
      <c r="F163" s="112" t="s">
        <v>1091</v>
      </c>
      <c r="G163" s="112" t="s">
        <v>1103</v>
      </c>
      <c r="H163" s="110">
        <v>40952</v>
      </c>
      <c r="I163" s="110">
        <v>38226</v>
      </c>
      <c r="J163" s="144" t="s">
        <v>1339</v>
      </c>
    </row>
    <row r="164" spans="1:10" ht="132" x14ac:dyDescent="0.2">
      <c r="A164" s="107" t="s">
        <v>1481</v>
      </c>
      <c r="B164" s="101" t="s">
        <v>1300</v>
      </c>
      <c r="C164" s="144" t="s">
        <v>1873</v>
      </c>
      <c r="D164" s="103" t="s">
        <v>1177</v>
      </c>
      <c r="E164" s="144" t="s">
        <v>1396</v>
      </c>
      <c r="F164" s="62" t="s">
        <v>1109</v>
      </c>
      <c r="G164" s="111" t="s">
        <v>1085</v>
      </c>
      <c r="H164" s="110">
        <v>721</v>
      </c>
      <c r="I164" s="110">
        <v>721</v>
      </c>
      <c r="J164" s="144" t="s">
        <v>1660</v>
      </c>
    </row>
    <row r="165" spans="1:10" ht="120" x14ac:dyDescent="0.2">
      <c r="A165" s="107" t="s">
        <v>1482</v>
      </c>
      <c r="B165" s="101" t="s">
        <v>1530</v>
      </c>
      <c r="C165" s="144" t="s">
        <v>1934</v>
      </c>
      <c r="D165" s="103" t="s">
        <v>1226</v>
      </c>
      <c r="E165" s="144" t="s">
        <v>1581</v>
      </c>
      <c r="F165" s="112" t="s">
        <v>1090</v>
      </c>
      <c r="G165" s="145" t="s">
        <v>638</v>
      </c>
      <c r="H165" s="110">
        <v>216</v>
      </c>
      <c r="I165" s="110">
        <f>H165-(0)/1000*$I$2</f>
        <v>216</v>
      </c>
      <c r="J165" s="144" t="s">
        <v>1661</v>
      </c>
    </row>
    <row r="166" spans="1:10" ht="84" x14ac:dyDescent="0.2">
      <c r="A166" s="107" t="s">
        <v>1483</v>
      </c>
      <c r="B166" s="101" t="s">
        <v>1580</v>
      </c>
      <c r="C166" s="144" t="s">
        <v>2012</v>
      </c>
      <c r="D166" s="103" t="s">
        <v>1214</v>
      </c>
      <c r="E166" s="144" t="s">
        <v>1582</v>
      </c>
      <c r="F166" s="62" t="s">
        <v>1093</v>
      </c>
      <c r="G166" s="62" t="s">
        <v>1093</v>
      </c>
      <c r="H166" s="110">
        <v>190</v>
      </c>
      <c r="I166" s="110">
        <f>H166-(0)/1000*$I$2</f>
        <v>190</v>
      </c>
      <c r="J166" s="144" t="s">
        <v>1662</v>
      </c>
    </row>
    <row r="167" spans="1:10" ht="132" x14ac:dyDescent="0.2">
      <c r="A167" s="107" t="s">
        <v>1484</v>
      </c>
      <c r="B167" s="101" t="s">
        <v>1295</v>
      </c>
      <c r="C167" s="144" t="s">
        <v>1874</v>
      </c>
      <c r="D167" s="103" t="s">
        <v>1236</v>
      </c>
      <c r="E167" s="144" t="s">
        <v>1356</v>
      </c>
      <c r="F167" s="112" t="s">
        <v>638</v>
      </c>
      <c r="G167" s="145" t="s">
        <v>1085</v>
      </c>
      <c r="H167" s="110">
        <v>23297</v>
      </c>
      <c r="I167" s="110">
        <v>23127</v>
      </c>
      <c r="J167" s="144" t="s">
        <v>1663</v>
      </c>
    </row>
    <row r="168" spans="1:10" ht="132" x14ac:dyDescent="0.2">
      <c r="A168" s="107" t="s">
        <v>1485</v>
      </c>
      <c r="B168" s="101" t="s">
        <v>1296</v>
      </c>
      <c r="C168" s="144" t="s">
        <v>1875</v>
      </c>
      <c r="D168" s="103" t="s">
        <v>1237</v>
      </c>
      <c r="E168" s="144" t="s">
        <v>1357</v>
      </c>
      <c r="F168" s="62" t="s">
        <v>1124</v>
      </c>
      <c r="G168" s="111" t="s">
        <v>1379</v>
      </c>
      <c r="H168" s="110">
        <v>33652</v>
      </c>
      <c r="I168" s="110">
        <v>31112</v>
      </c>
      <c r="J168" s="144" t="s">
        <v>1664</v>
      </c>
    </row>
    <row r="169" spans="1:10" ht="96" x14ac:dyDescent="0.2">
      <c r="A169" s="107" t="s">
        <v>1486</v>
      </c>
      <c r="B169" s="101" t="s">
        <v>1583</v>
      </c>
      <c r="C169" s="144" t="s">
        <v>1935</v>
      </c>
      <c r="D169" s="103" t="s">
        <v>1238</v>
      </c>
      <c r="E169" s="144" t="s">
        <v>1876</v>
      </c>
      <c r="F169" s="112" t="s">
        <v>638</v>
      </c>
      <c r="G169" s="145" t="s">
        <v>1371</v>
      </c>
      <c r="H169" s="110">
        <v>43167</v>
      </c>
      <c r="I169" s="110">
        <v>31479</v>
      </c>
      <c r="J169" s="144" t="s">
        <v>1332</v>
      </c>
    </row>
    <row r="170" spans="1:10" ht="120" x14ac:dyDescent="0.2">
      <c r="A170" s="107" t="s">
        <v>1487</v>
      </c>
      <c r="B170" s="101" t="s">
        <v>1293</v>
      </c>
      <c r="C170" s="144" t="s">
        <v>2022</v>
      </c>
      <c r="D170" s="103" t="s">
        <v>1234</v>
      </c>
      <c r="E170" s="144" t="s">
        <v>1370</v>
      </c>
      <c r="F170" s="112" t="s">
        <v>1157</v>
      </c>
      <c r="G170" s="145" t="s">
        <v>1355</v>
      </c>
      <c r="H170" s="110">
        <v>43826</v>
      </c>
      <c r="I170" s="110">
        <v>42826</v>
      </c>
      <c r="J170" s="144" t="s">
        <v>1665</v>
      </c>
    </row>
    <row r="171" spans="1:10" ht="192" x14ac:dyDescent="0.2">
      <c r="A171" s="107" t="s">
        <v>1488</v>
      </c>
      <c r="B171" s="101" t="s">
        <v>1531</v>
      </c>
      <c r="C171" s="144" t="s">
        <v>2013</v>
      </c>
      <c r="D171" s="103" t="s">
        <v>1149</v>
      </c>
      <c r="E171" s="144" t="s">
        <v>1156</v>
      </c>
      <c r="F171" s="112" t="s">
        <v>1157</v>
      </c>
      <c r="G171" s="145">
        <v>43435</v>
      </c>
      <c r="H171" s="110">
        <v>560</v>
      </c>
      <c r="I171" s="110">
        <f t="shared" ref="I171:I177" si="4">H171-(0)/1000*$I$2</f>
        <v>560</v>
      </c>
      <c r="J171" s="144" t="s">
        <v>1738</v>
      </c>
    </row>
    <row r="172" spans="1:10" ht="60" x14ac:dyDescent="0.2">
      <c r="A172" s="107" t="s">
        <v>1489</v>
      </c>
      <c r="B172" s="102" t="s">
        <v>1692</v>
      </c>
      <c r="C172" s="144" t="s">
        <v>1877</v>
      </c>
      <c r="D172" s="103" t="s">
        <v>1193</v>
      </c>
      <c r="E172" s="144" t="s">
        <v>1194</v>
      </c>
      <c r="F172" s="112" t="s">
        <v>1157</v>
      </c>
      <c r="G172" s="112" t="s">
        <v>1083</v>
      </c>
      <c r="H172" s="110">
        <v>10</v>
      </c>
      <c r="I172" s="110">
        <v>10</v>
      </c>
      <c r="J172" s="144" t="s">
        <v>1307</v>
      </c>
    </row>
    <row r="173" spans="1:10" ht="96" x14ac:dyDescent="0.2">
      <c r="A173" s="107" t="s">
        <v>1490</v>
      </c>
      <c r="B173" s="102" t="s">
        <v>1696</v>
      </c>
      <c r="C173" s="144" t="s">
        <v>1936</v>
      </c>
      <c r="D173" s="103" t="s">
        <v>1878</v>
      </c>
      <c r="E173" s="144" t="s">
        <v>1879</v>
      </c>
      <c r="F173" s="112" t="s">
        <v>1157</v>
      </c>
      <c r="G173" s="112" t="s">
        <v>1157</v>
      </c>
      <c r="H173" s="110">
        <v>95</v>
      </c>
      <c r="I173" s="110">
        <f t="shared" si="4"/>
        <v>95</v>
      </c>
      <c r="J173" s="144" t="s">
        <v>1880</v>
      </c>
    </row>
    <row r="174" spans="1:10" ht="120" x14ac:dyDescent="0.2">
      <c r="A174" s="107" t="s">
        <v>1491</v>
      </c>
      <c r="B174" s="101" t="s">
        <v>1889</v>
      </c>
      <c r="C174" s="144" t="s">
        <v>1937</v>
      </c>
      <c r="D174" s="103" t="s">
        <v>1100</v>
      </c>
      <c r="E174" s="144" t="s">
        <v>1099</v>
      </c>
      <c r="F174" s="112" t="s">
        <v>1083</v>
      </c>
      <c r="G174" s="112" t="s">
        <v>1085</v>
      </c>
      <c r="H174" s="110">
        <v>1164</v>
      </c>
      <c r="I174" s="110">
        <f t="shared" si="4"/>
        <v>1164</v>
      </c>
      <c r="J174" s="144" t="s">
        <v>1332</v>
      </c>
    </row>
    <row r="175" spans="1:10" ht="120" x14ac:dyDescent="0.2">
      <c r="A175" s="107" t="s">
        <v>1492</v>
      </c>
      <c r="B175" s="101" t="s">
        <v>1277</v>
      </c>
      <c r="C175" s="144" t="s">
        <v>1881</v>
      </c>
      <c r="D175" s="103" t="s">
        <v>1102</v>
      </c>
      <c r="E175" s="144" t="s">
        <v>1101</v>
      </c>
      <c r="F175" s="112" t="s">
        <v>1083</v>
      </c>
      <c r="G175" s="112" t="s">
        <v>1103</v>
      </c>
      <c r="H175" s="113">
        <v>5</v>
      </c>
      <c r="I175" s="113">
        <f t="shared" si="4"/>
        <v>5</v>
      </c>
      <c r="J175" s="144" t="s">
        <v>1636</v>
      </c>
    </row>
    <row r="176" spans="1:10" ht="120" x14ac:dyDescent="0.2">
      <c r="A176" s="107" t="s">
        <v>1493</v>
      </c>
      <c r="B176" s="101" t="s">
        <v>1584</v>
      </c>
      <c r="C176" s="144" t="s">
        <v>2014</v>
      </c>
      <c r="D176" s="103" t="s">
        <v>1166</v>
      </c>
      <c r="E176" s="144" t="s">
        <v>1585</v>
      </c>
      <c r="F176" s="112" t="s">
        <v>1083</v>
      </c>
      <c r="G176" s="112" t="s">
        <v>1095</v>
      </c>
      <c r="H176" s="110">
        <v>3135</v>
      </c>
      <c r="I176" s="110">
        <f t="shared" si="4"/>
        <v>3135</v>
      </c>
      <c r="J176" s="144" t="s">
        <v>1333</v>
      </c>
    </row>
    <row r="177" spans="1:10" ht="120" x14ac:dyDescent="0.2">
      <c r="A177" s="107" t="s">
        <v>1494</v>
      </c>
      <c r="B177" s="102" t="s">
        <v>1310</v>
      </c>
      <c r="C177" s="144" t="s">
        <v>1938</v>
      </c>
      <c r="D177" s="103" t="s">
        <v>1244</v>
      </c>
      <c r="E177" s="144" t="s">
        <v>1882</v>
      </c>
      <c r="F177" s="112" t="s">
        <v>1083</v>
      </c>
      <c r="G177" s="112" t="s">
        <v>1083</v>
      </c>
      <c r="H177" s="110">
        <v>52</v>
      </c>
      <c r="I177" s="110">
        <f t="shared" si="4"/>
        <v>52</v>
      </c>
      <c r="J177" s="144" t="s">
        <v>1243</v>
      </c>
    </row>
    <row r="178" spans="1:10" ht="108" x14ac:dyDescent="0.2">
      <c r="A178" s="107" t="s">
        <v>1495</v>
      </c>
      <c r="B178" s="101" t="s">
        <v>1697</v>
      </c>
      <c r="C178" s="144" t="s">
        <v>1939</v>
      </c>
      <c r="D178" s="103" t="s">
        <v>1231</v>
      </c>
      <c r="E178" s="144" t="s">
        <v>1230</v>
      </c>
      <c r="F178" s="112" t="s">
        <v>1103</v>
      </c>
      <c r="G178" s="112" t="s">
        <v>1105</v>
      </c>
      <c r="H178" s="110">
        <v>700</v>
      </c>
      <c r="I178" s="110">
        <v>700</v>
      </c>
      <c r="J178" s="144" t="s">
        <v>1332</v>
      </c>
    </row>
    <row r="179" spans="1:10" ht="84" x14ac:dyDescent="0.2">
      <c r="A179" s="107" t="s">
        <v>1496</v>
      </c>
      <c r="B179" s="101" t="s">
        <v>1290</v>
      </c>
      <c r="C179" s="144" t="s">
        <v>1940</v>
      </c>
      <c r="D179" s="103" t="s">
        <v>1209</v>
      </c>
      <c r="E179" s="144" t="s">
        <v>1208</v>
      </c>
      <c r="F179" s="62" t="s">
        <v>1144</v>
      </c>
      <c r="G179" s="62" t="s">
        <v>1106</v>
      </c>
      <c r="H179" s="110">
        <v>3000</v>
      </c>
      <c r="I179" s="110">
        <v>3000</v>
      </c>
      <c r="J179" s="144" t="s">
        <v>1332</v>
      </c>
    </row>
    <row r="180" spans="1:10" ht="108" x14ac:dyDescent="0.2">
      <c r="A180" s="107" t="s">
        <v>1497</v>
      </c>
      <c r="B180" s="101" t="s">
        <v>1531</v>
      </c>
      <c r="C180" s="144" t="s">
        <v>1933</v>
      </c>
      <c r="D180" s="103" t="s">
        <v>1150</v>
      </c>
      <c r="E180" s="144" t="s">
        <v>1586</v>
      </c>
      <c r="F180" s="62" t="s">
        <v>1105</v>
      </c>
      <c r="G180" s="145" t="s">
        <v>1106</v>
      </c>
      <c r="H180" s="110">
        <v>120</v>
      </c>
      <c r="I180" s="110">
        <f t="shared" ref="I180:I188" si="5">H180-(0)/1000*$I$2</f>
        <v>120</v>
      </c>
      <c r="J180" s="144" t="s">
        <v>1739</v>
      </c>
    </row>
    <row r="181" spans="1:10" ht="108" x14ac:dyDescent="0.2">
      <c r="A181" s="107" t="s">
        <v>1498</v>
      </c>
      <c r="B181" s="101" t="s">
        <v>1587</v>
      </c>
      <c r="C181" s="100" t="s">
        <v>1941</v>
      </c>
      <c r="D181" s="147" t="s">
        <v>1242</v>
      </c>
      <c r="E181" s="144" t="s">
        <v>1241</v>
      </c>
      <c r="F181" s="62" t="s">
        <v>1095</v>
      </c>
      <c r="G181" s="62" t="s">
        <v>1095</v>
      </c>
      <c r="H181" s="110">
        <v>2004</v>
      </c>
      <c r="I181" s="110">
        <f t="shared" si="5"/>
        <v>2004</v>
      </c>
      <c r="J181" s="144" t="s">
        <v>1351</v>
      </c>
    </row>
    <row r="182" spans="1:10" ht="108" x14ac:dyDescent="0.2">
      <c r="A182" s="107" t="s">
        <v>1499</v>
      </c>
      <c r="B182" s="101" t="s">
        <v>1285</v>
      </c>
      <c r="C182" s="144" t="s">
        <v>1943</v>
      </c>
      <c r="D182" s="103" t="s">
        <v>1119</v>
      </c>
      <c r="E182" s="144" t="s">
        <v>1883</v>
      </c>
      <c r="F182" s="62" t="s">
        <v>1158</v>
      </c>
      <c r="G182" s="112" t="s">
        <v>1085</v>
      </c>
      <c r="H182" s="110">
        <v>1300</v>
      </c>
      <c r="I182" s="110">
        <f t="shared" si="5"/>
        <v>1300</v>
      </c>
      <c r="J182" s="144" t="s">
        <v>1284</v>
      </c>
    </row>
    <row r="183" spans="1:10" ht="108" x14ac:dyDescent="0.2">
      <c r="A183" s="107" t="s">
        <v>1500</v>
      </c>
      <c r="B183" s="101" t="s">
        <v>1698</v>
      </c>
      <c r="C183" s="144" t="s">
        <v>1942</v>
      </c>
      <c r="D183" s="103" t="s">
        <v>1121</v>
      </c>
      <c r="E183" s="144" t="s">
        <v>1588</v>
      </c>
      <c r="F183" s="112" t="s">
        <v>1105</v>
      </c>
      <c r="G183" s="112" t="s">
        <v>1085</v>
      </c>
      <c r="H183" s="110">
        <v>1780</v>
      </c>
      <c r="I183" s="110">
        <f t="shared" si="5"/>
        <v>1780</v>
      </c>
      <c r="J183" s="144" t="s">
        <v>1284</v>
      </c>
    </row>
    <row r="184" spans="1:10" ht="120" x14ac:dyDescent="0.2">
      <c r="A184" s="107" t="s">
        <v>1501</v>
      </c>
      <c r="B184" s="101" t="s">
        <v>1308</v>
      </c>
      <c r="C184" s="100" t="s">
        <v>1944</v>
      </c>
      <c r="D184" s="147" t="s">
        <v>1248</v>
      </c>
      <c r="E184" s="144" t="s">
        <v>1247</v>
      </c>
      <c r="F184" s="112" t="s">
        <v>1105</v>
      </c>
      <c r="G184" s="112" t="s">
        <v>1158</v>
      </c>
      <c r="H184" s="110">
        <v>452</v>
      </c>
      <c r="I184" s="110">
        <f t="shared" si="5"/>
        <v>452</v>
      </c>
      <c r="J184" s="144" t="s">
        <v>1305</v>
      </c>
    </row>
    <row r="185" spans="1:10" ht="108" x14ac:dyDescent="0.2">
      <c r="A185" s="107" t="s">
        <v>1502</v>
      </c>
      <c r="B185" s="101" t="s">
        <v>1530</v>
      </c>
      <c r="C185" s="144" t="s">
        <v>1945</v>
      </c>
      <c r="D185" s="103" t="s">
        <v>1225</v>
      </c>
      <c r="E185" s="144" t="s">
        <v>1224</v>
      </c>
      <c r="F185" s="112" t="s">
        <v>1158</v>
      </c>
      <c r="G185" s="145" t="s">
        <v>1158</v>
      </c>
      <c r="H185" s="110">
        <v>10</v>
      </c>
      <c r="I185" s="110">
        <f t="shared" si="5"/>
        <v>10</v>
      </c>
      <c r="J185" s="144" t="s">
        <v>1329</v>
      </c>
    </row>
    <row r="186" spans="1:10" ht="156" x14ac:dyDescent="0.2">
      <c r="A186" s="107" t="s">
        <v>1714</v>
      </c>
      <c r="B186" s="101" t="s">
        <v>1300</v>
      </c>
      <c r="C186" s="144" t="s">
        <v>1946</v>
      </c>
      <c r="D186" s="103" t="s">
        <v>1250</v>
      </c>
      <c r="E186" s="144" t="s">
        <v>1589</v>
      </c>
      <c r="F186" s="112" t="s">
        <v>1158</v>
      </c>
      <c r="G186" s="112" t="s">
        <v>1085</v>
      </c>
      <c r="H186" s="110">
        <v>1231</v>
      </c>
      <c r="I186" s="110">
        <v>1231</v>
      </c>
      <c r="J186" s="144" t="s">
        <v>1666</v>
      </c>
    </row>
    <row r="187" spans="1:10" ht="108" x14ac:dyDescent="0.2">
      <c r="A187" s="107" t="s">
        <v>1503</v>
      </c>
      <c r="B187" s="101" t="s">
        <v>1531</v>
      </c>
      <c r="C187" s="144" t="s">
        <v>1947</v>
      </c>
      <c r="D187" s="103" t="s">
        <v>1151</v>
      </c>
      <c r="E187" s="144" t="s">
        <v>1590</v>
      </c>
      <c r="F187" s="112" t="s">
        <v>1158</v>
      </c>
      <c r="G187" s="145" t="s">
        <v>1106</v>
      </c>
      <c r="H187" s="110">
        <v>38</v>
      </c>
      <c r="I187" s="110">
        <f t="shared" si="5"/>
        <v>38</v>
      </c>
      <c r="J187" s="144" t="s">
        <v>1739</v>
      </c>
    </row>
    <row r="188" spans="1:10" ht="108" x14ac:dyDescent="0.2">
      <c r="A188" s="107" t="s">
        <v>1504</v>
      </c>
      <c r="B188" s="101" t="s">
        <v>1531</v>
      </c>
      <c r="C188" s="144" t="s">
        <v>1948</v>
      </c>
      <c r="D188" s="103" t="s">
        <v>1152</v>
      </c>
      <c r="E188" s="144" t="s">
        <v>1591</v>
      </c>
      <c r="F188" s="62" t="s">
        <v>1084</v>
      </c>
      <c r="G188" s="145" t="s">
        <v>1106</v>
      </c>
      <c r="H188" s="110">
        <v>114</v>
      </c>
      <c r="I188" s="110">
        <f t="shared" si="5"/>
        <v>114</v>
      </c>
      <c r="J188" s="144" t="s">
        <v>1740</v>
      </c>
    </row>
    <row r="189" spans="1:10" ht="96" x14ac:dyDescent="0.2">
      <c r="A189" s="107" t="s">
        <v>1505</v>
      </c>
      <c r="B189" s="101" t="s">
        <v>1592</v>
      </c>
      <c r="C189" s="144" t="s">
        <v>1949</v>
      </c>
      <c r="D189" s="103" t="s">
        <v>1162</v>
      </c>
      <c r="E189" s="144" t="s">
        <v>1884</v>
      </c>
      <c r="F189" s="62" t="s">
        <v>1084</v>
      </c>
      <c r="G189" s="111" t="s">
        <v>1379</v>
      </c>
      <c r="H189" s="110">
        <v>7248</v>
      </c>
      <c r="I189" s="110">
        <v>7248</v>
      </c>
      <c r="J189" s="144" t="s">
        <v>1741</v>
      </c>
    </row>
    <row r="190" spans="1:10" ht="132" x14ac:dyDescent="0.2">
      <c r="A190" s="107" t="s">
        <v>1506</v>
      </c>
      <c r="B190" s="101" t="s">
        <v>1690</v>
      </c>
      <c r="C190" s="144" t="s">
        <v>2015</v>
      </c>
      <c r="D190" s="103" t="s">
        <v>1112</v>
      </c>
      <c r="E190" s="144" t="s">
        <v>1885</v>
      </c>
      <c r="F190" s="62" t="s">
        <v>1109</v>
      </c>
      <c r="G190" s="62" t="s">
        <v>1109</v>
      </c>
      <c r="H190" s="110">
        <v>135</v>
      </c>
      <c r="I190" s="110">
        <f t="shared" ref="I190:I198" si="6">H190-(0)/1000*$I$2</f>
        <v>135</v>
      </c>
      <c r="J190" s="144" t="s">
        <v>1332</v>
      </c>
    </row>
    <row r="191" spans="1:10" ht="120" x14ac:dyDescent="0.2">
      <c r="A191" s="107" t="s">
        <v>1507</v>
      </c>
      <c r="B191" s="101" t="s">
        <v>1298</v>
      </c>
      <c r="C191" s="144" t="s">
        <v>1910</v>
      </c>
      <c r="D191" s="103" t="s">
        <v>1631</v>
      </c>
      <c r="E191" s="144" t="s">
        <v>1254</v>
      </c>
      <c r="F191" s="62" t="s">
        <v>1096</v>
      </c>
      <c r="G191" s="111" t="s">
        <v>1096</v>
      </c>
      <c r="H191" s="110">
        <v>800</v>
      </c>
      <c r="I191" s="110">
        <f t="shared" si="6"/>
        <v>800</v>
      </c>
      <c r="J191" s="144" t="s">
        <v>1333</v>
      </c>
    </row>
    <row r="192" spans="1:10" ht="192" x14ac:dyDescent="0.2">
      <c r="A192" s="107" t="s">
        <v>1508</v>
      </c>
      <c r="B192" s="101" t="s">
        <v>1531</v>
      </c>
      <c r="C192" s="144" t="s">
        <v>1948</v>
      </c>
      <c r="D192" s="103" t="s">
        <v>1153</v>
      </c>
      <c r="E192" s="144" t="s">
        <v>1593</v>
      </c>
      <c r="F192" s="62" t="s">
        <v>1106</v>
      </c>
      <c r="G192" s="145" t="s">
        <v>1085</v>
      </c>
      <c r="H192" s="110">
        <v>560</v>
      </c>
      <c r="I192" s="110">
        <f t="shared" si="6"/>
        <v>560</v>
      </c>
      <c r="J192" s="144" t="s">
        <v>1667</v>
      </c>
    </row>
    <row r="193" spans="1:10" ht="84" x14ac:dyDescent="0.2">
      <c r="A193" s="107" t="s">
        <v>1509</v>
      </c>
      <c r="B193" s="101" t="s">
        <v>1531</v>
      </c>
      <c r="C193" s="144" t="s">
        <v>1950</v>
      </c>
      <c r="D193" s="103" t="s">
        <v>1159</v>
      </c>
      <c r="E193" s="144" t="s">
        <v>1890</v>
      </c>
      <c r="F193" s="62" t="s">
        <v>1109</v>
      </c>
      <c r="G193" s="111" t="s">
        <v>1096</v>
      </c>
      <c r="H193" s="110">
        <v>335</v>
      </c>
      <c r="I193" s="110">
        <f t="shared" si="6"/>
        <v>335</v>
      </c>
      <c r="J193" s="144" t="s">
        <v>1348</v>
      </c>
    </row>
    <row r="194" spans="1:10" ht="108" x14ac:dyDescent="0.2">
      <c r="A194" s="107" t="s">
        <v>1510</v>
      </c>
      <c r="B194" s="101" t="s">
        <v>1304</v>
      </c>
      <c r="C194" s="100" t="s">
        <v>1951</v>
      </c>
      <c r="D194" s="147" t="s">
        <v>1246</v>
      </c>
      <c r="E194" s="144" t="s">
        <v>1245</v>
      </c>
      <c r="F194" s="62" t="s">
        <v>1106</v>
      </c>
      <c r="G194" s="62" t="s">
        <v>1122</v>
      </c>
      <c r="H194" s="110">
        <v>456</v>
      </c>
      <c r="I194" s="110">
        <f t="shared" si="6"/>
        <v>456</v>
      </c>
      <c r="J194" s="144" t="s">
        <v>1352</v>
      </c>
    </row>
    <row r="195" spans="1:10" ht="120" x14ac:dyDescent="0.2">
      <c r="A195" s="107" t="s">
        <v>1511</v>
      </c>
      <c r="B195" s="101" t="s">
        <v>1699</v>
      </c>
      <c r="C195" s="144" t="s">
        <v>2016</v>
      </c>
      <c r="D195" s="103" t="s">
        <v>1107</v>
      </c>
      <c r="E195" s="144" t="s">
        <v>1594</v>
      </c>
      <c r="F195" s="112" t="s">
        <v>1106</v>
      </c>
      <c r="G195" s="112" t="s">
        <v>1085</v>
      </c>
      <c r="H195" s="110">
        <v>256</v>
      </c>
      <c r="I195" s="110">
        <f t="shared" si="6"/>
        <v>256</v>
      </c>
      <c r="J195" s="144" t="s">
        <v>1332</v>
      </c>
    </row>
    <row r="196" spans="1:10" ht="132" x14ac:dyDescent="0.2">
      <c r="A196" s="107" t="s">
        <v>1512</v>
      </c>
      <c r="B196" s="101" t="s">
        <v>1690</v>
      </c>
      <c r="C196" s="144" t="s">
        <v>2017</v>
      </c>
      <c r="D196" s="103" t="s">
        <v>1113</v>
      </c>
      <c r="E196" s="144" t="s">
        <v>1891</v>
      </c>
      <c r="F196" s="62" t="s">
        <v>1095</v>
      </c>
      <c r="G196" s="62" t="s">
        <v>1085</v>
      </c>
      <c r="H196" s="110">
        <v>282</v>
      </c>
      <c r="I196" s="110">
        <f t="shared" si="6"/>
        <v>282</v>
      </c>
      <c r="J196" s="144" t="s">
        <v>1332</v>
      </c>
    </row>
    <row r="197" spans="1:10" ht="132" x14ac:dyDescent="0.2">
      <c r="A197" s="107" t="s">
        <v>1513</v>
      </c>
      <c r="B197" s="101" t="s">
        <v>1690</v>
      </c>
      <c r="C197" s="144" t="s">
        <v>2018</v>
      </c>
      <c r="D197" s="103" t="s">
        <v>1114</v>
      </c>
      <c r="E197" s="144" t="s">
        <v>1892</v>
      </c>
      <c r="F197" s="62" t="s">
        <v>1095</v>
      </c>
      <c r="G197" s="62" t="s">
        <v>1085</v>
      </c>
      <c r="H197" s="110">
        <v>282</v>
      </c>
      <c r="I197" s="110">
        <f t="shared" si="6"/>
        <v>282</v>
      </c>
      <c r="J197" s="144" t="s">
        <v>1332</v>
      </c>
    </row>
    <row r="198" spans="1:10" ht="120" x14ac:dyDescent="0.2">
      <c r="A198" s="107" t="s">
        <v>1514</v>
      </c>
      <c r="B198" s="108" t="s">
        <v>1595</v>
      </c>
      <c r="C198" s="144" t="s">
        <v>1982</v>
      </c>
      <c r="D198" s="103" t="s">
        <v>1251</v>
      </c>
      <c r="E198" s="144" t="s">
        <v>1252</v>
      </c>
      <c r="F198" s="112" t="s">
        <v>1106</v>
      </c>
      <c r="G198" s="112" t="s">
        <v>1106</v>
      </c>
      <c r="H198" s="110">
        <v>200</v>
      </c>
      <c r="I198" s="110">
        <f t="shared" si="6"/>
        <v>200</v>
      </c>
      <c r="J198" s="144" t="s">
        <v>1253</v>
      </c>
    </row>
    <row r="199" spans="1:10" ht="132" x14ac:dyDescent="0.2">
      <c r="A199" s="107" t="s">
        <v>1515</v>
      </c>
      <c r="B199" s="101" t="s">
        <v>1294</v>
      </c>
      <c r="C199" s="144" t="s">
        <v>1952</v>
      </c>
      <c r="D199" s="103" t="s">
        <v>1235</v>
      </c>
      <c r="E199" s="144" t="s">
        <v>1893</v>
      </c>
      <c r="F199" s="62" t="s">
        <v>1109</v>
      </c>
      <c r="G199" s="111" t="s">
        <v>1085</v>
      </c>
      <c r="H199" s="110">
        <v>6885</v>
      </c>
      <c r="I199" s="110">
        <v>2851</v>
      </c>
      <c r="J199" s="144" t="s">
        <v>1340</v>
      </c>
    </row>
    <row r="200" spans="1:10" ht="84" x14ac:dyDescent="0.2">
      <c r="A200" s="107" t="s">
        <v>1516</v>
      </c>
      <c r="B200" s="101" t="s">
        <v>1531</v>
      </c>
      <c r="C200" s="144" t="s">
        <v>1953</v>
      </c>
      <c r="D200" s="103" t="s">
        <v>1154</v>
      </c>
      <c r="E200" s="144" t="s">
        <v>1596</v>
      </c>
      <c r="F200" s="112" t="s">
        <v>1106</v>
      </c>
      <c r="G200" s="145" t="s">
        <v>1095</v>
      </c>
      <c r="H200" s="110">
        <v>174</v>
      </c>
      <c r="I200" s="110">
        <f>H200-(0)/1000*$I$2</f>
        <v>174</v>
      </c>
      <c r="J200" s="144" t="s">
        <v>1346</v>
      </c>
    </row>
    <row r="201" spans="1:10" ht="72" x14ac:dyDescent="0.2">
      <c r="A201" s="107" t="s">
        <v>1517</v>
      </c>
      <c r="B201" s="101" t="s">
        <v>1531</v>
      </c>
      <c r="C201" s="144" t="s">
        <v>1954</v>
      </c>
      <c r="D201" s="103" t="s">
        <v>1155</v>
      </c>
      <c r="E201" s="144" t="s">
        <v>1894</v>
      </c>
      <c r="F201" s="112" t="s">
        <v>1106</v>
      </c>
      <c r="G201" s="145" t="s">
        <v>1106</v>
      </c>
      <c r="H201" s="110">
        <v>496</v>
      </c>
      <c r="I201" s="110">
        <f>H201-(0)/1000*$I$2</f>
        <v>496</v>
      </c>
      <c r="J201" s="144" t="s">
        <v>1668</v>
      </c>
    </row>
    <row r="202" spans="1:10" ht="108" x14ac:dyDescent="0.2">
      <c r="A202" s="107" t="s">
        <v>1518</v>
      </c>
      <c r="B202" s="101" t="s">
        <v>1598</v>
      </c>
      <c r="C202" s="100" t="s">
        <v>1955</v>
      </c>
      <c r="D202" s="147" t="s">
        <v>1239</v>
      </c>
      <c r="E202" s="144" t="s">
        <v>1597</v>
      </c>
      <c r="F202" s="62" t="s">
        <v>1387</v>
      </c>
      <c r="G202" s="62" t="s">
        <v>1372</v>
      </c>
      <c r="H202" s="110">
        <v>2548</v>
      </c>
      <c r="I202" s="110">
        <v>2548</v>
      </c>
      <c r="J202" s="144" t="s">
        <v>1349</v>
      </c>
    </row>
    <row r="203" spans="1:10" ht="72" x14ac:dyDescent="0.2">
      <c r="A203" s="107" t="s">
        <v>1519</v>
      </c>
      <c r="B203" s="101" t="s">
        <v>1531</v>
      </c>
      <c r="C203" s="144" t="s">
        <v>1956</v>
      </c>
      <c r="D203" s="103" t="s">
        <v>1167</v>
      </c>
      <c r="E203" s="144" t="s">
        <v>1599</v>
      </c>
      <c r="F203" s="112" t="s">
        <v>1095</v>
      </c>
      <c r="G203" s="145" t="s">
        <v>1095</v>
      </c>
      <c r="H203" s="110">
        <v>413</v>
      </c>
      <c r="I203" s="110">
        <f>H203-(0)/1000*$I$2</f>
        <v>413</v>
      </c>
      <c r="J203" s="144" t="s">
        <v>1668</v>
      </c>
    </row>
    <row r="204" spans="1:10" ht="120" x14ac:dyDescent="0.2">
      <c r="A204" s="107" t="s">
        <v>1520</v>
      </c>
      <c r="B204" s="101" t="s">
        <v>1273</v>
      </c>
      <c r="C204" s="144" t="s">
        <v>1895</v>
      </c>
      <c r="D204" s="103" t="s">
        <v>1110</v>
      </c>
      <c r="E204" s="144" t="s">
        <v>1896</v>
      </c>
      <c r="F204" s="62" t="s">
        <v>1096</v>
      </c>
      <c r="G204" s="62" t="s">
        <v>1085</v>
      </c>
      <c r="H204" s="110">
        <v>78</v>
      </c>
      <c r="I204" s="110">
        <f>H204-(0)/1000*$I$2</f>
        <v>78</v>
      </c>
      <c r="J204" s="144" t="s">
        <v>1333</v>
      </c>
    </row>
    <row r="205" spans="1:10" ht="120" x14ac:dyDescent="0.2">
      <c r="A205" s="107" t="s">
        <v>1521</v>
      </c>
      <c r="B205" s="101" t="s">
        <v>1275</v>
      </c>
      <c r="C205" s="144" t="s">
        <v>1897</v>
      </c>
      <c r="D205" s="103" t="s">
        <v>1108</v>
      </c>
      <c r="E205" s="144" t="s">
        <v>1898</v>
      </c>
      <c r="F205" s="62" t="s">
        <v>1096</v>
      </c>
      <c r="G205" s="111" t="s">
        <v>1384</v>
      </c>
      <c r="H205" s="110">
        <v>45</v>
      </c>
      <c r="I205" s="110">
        <f>H205-(0)/1000*$I$2</f>
        <v>45</v>
      </c>
      <c r="J205" s="144" t="s">
        <v>1333</v>
      </c>
    </row>
    <row r="206" spans="1:10" ht="96" x14ac:dyDescent="0.2">
      <c r="A206" s="107" t="s">
        <v>1522</v>
      </c>
      <c r="B206" s="101" t="s">
        <v>1600</v>
      </c>
      <c r="C206" s="144" t="s">
        <v>1957</v>
      </c>
      <c r="D206" s="103" t="s">
        <v>1163</v>
      </c>
      <c r="E206" s="144" t="s">
        <v>1899</v>
      </c>
      <c r="F206" s="62" t="s">
        <v>1096</v>
      </c>
      <c r="G206" s="111" t="s">
        <v>1165</v>
      </c>
      <c r="H206" s="110">
        <v>20123</v>
      </c>
      <c r="I206" s="110">
        <v>19967</v>
      </c>
      <c r="J206" s="144" t="s">
        <v>1333</v>
      </c>
    </row>
    <row r="207" spans="1:10" ht="132" x14ac:dyDescent="0.2">
      <c r="A207" s="107" t="s">
        <v>1523</v>
      </c>
      <c r="B207" s="101" t="s">
        <v>1900</v>
      </c>
      <c r="C207" s="100" t="s">
        <v>2039</v>
      </c>
      <c r="D207" s="147" t="s">
        <v>1249</v>
      </c>
      <c r="E207" s="144" t="s">
        <v>1901</v>
      </c>
      <c r="F207" s="62" t="s">
        <v>1096</v>
      </c>
      <c r="G207" s="62" t="s">
        <v>1096</v>
      </c>
      <c r="H207" s="110">
        <v>206</v>
      </c>
      <c r="I207" s="110">
        <f>H207-(0)/1000*$I$2</f>
        <v>206</v>
      </c>
      <c r="J207" s="144" t="s">
        <v>1742</v>
      </c>
    </row>
    <row r="208" spans="1:10" ht="120" x14ac:dyDescent="0.2">
      <c r="A208" s="107" t="s">
        <v>1524</v>
      </c>
      <c r="B208" s="101" t="s">
        <v>1299</v>
      </c>
      <c r="C208" s="144" t="s">
        <v>2045</v>
      </c>
      <c r="D208" s="103" t="s">
        <v>1240</v>
      </c>
      <c r="E208" s="144" t="s">
        <v>1256</v>
      </c>
      <c r="F208" s="62" t="s">
        <v>1374</v>
      </c>
      <c r="G208" s="62" t="s">
        <v>1199</v>
      </c>
      <c r="H208" s="115">
        <v>2420</v>
      </c>
      <c r="I208" s="110">
        <v>1961</v>
      </c>
      <c r="J208" s="144" t="s">
        <v>1341</v>
      </c>
    </row>
    <row r="209" spans="1:10" ht="108" x14ac:dyDescent="0.2">
      <c r="A209" s="107" t="s">
        <v>1525</v>
      </c>
      <c r="B209" s="101" t="s">
        <v>1285</v>
      </c>
      <c r="C209" s="144" t="s">
        <v>1958</v>
      </c>
      <c r="D209" s="103" t="s">
        <v>1123</v>
      </c>
      <c r="E209" s="144" t="s">
        <v>1601</v>
      </c>
      <c r="F209" s="62" t="s">
        <v>1122</v>
      </c>
      <c r="G209" s="62" t="s">
        <v>1124</v>
      </c>
      <c r="H209" s="110">
        <v>1958</v>
      </c>
      <c r="I209" s="110">
        <v>1958</v>
      </c>
      <c r="J209" s="144" t="s">
        <v>1332</v>
      </c>
    </row>
    <row r="210" spans="1:10" ht="120" x14ac:dyDescent="0.2">
      <c r="A210" s="107" t="s">
        <v>1526</v>
      </c>
      <c r="B210" s="101" t="s">
        <v>1292</v>
      </c>
      <c r="C210" s="144" t="s">
        <v>1959</v>
      </c>
      <c r="D210" s="103" t="s">
        <v>1232</v>
      </c>
      <c r="E210" s="144" t="s">
        <v>1233</v>
      </c>
      <c r="F210" s="62" t="s">
        <v>1083</v>
      </c>
      <c r="G210" s="62" t="s">
        <v>1103</v>
      </c>
      <c r="H210" s="110">
        <v>810</v>
      </c>
      <c r="I210" s="110">
        <v>810</v>
      </c>
      <c r="J210" s="144" t="s">
        <v>1332</v>
      </c>
    </row>
    <row r="211" spans="1:10" ht="108" x14ac:dyDescent="0.2">
      <c r="A211" s="107" t="s">
        <v>1527</v>
      </c>
      <c r="B211" s="101" t="s">
        <v>1602</v>
      </c>
      <c r="C211" s="100" t="s">
        <v>1960</v>
      </c>
      <c r="D211" s="147" t="s">
        <v>1255</v>
      </c>
      <c r="E211" s="144" t="s">
        <v>1603</v>
      </c>
      <c r="F211" s="62" t="s">
        <v>1085</v>
      </c>
      <c r="G211" s="62" t="s">
        <v>1630</v>
      </c>
      <c r="H211" s="110">
        <v>3900</v>
      </c>
      <c r="I211" s="110">
        <v>3060</v>
      </c>
      <c r="J211" s="144" t="s">
        <v>1350</v>
      </c>
    </row>
    <row r="212" spans="1:10" ht="144" x14ac:dyDescent="0.2">
      <c r="A212" s="107" t="s">
        <v>1528</v>
      </c>
      <c r="B212" s="101" t="s">
        <v>1604</v>
      </c>
      <c r="C212" s="144" t="s">
        <v>1961</v>
      </c>
      <c r="D212" s="103" t="s">
        <v>1386</v>
      </c>
      <c r="E212" s="144" t="s">
        <v>1605</v>
      </c>
      <c r="F212" s="112" t="s">
        <v>1387</v>
      </c>
      <c r="G212" s="145" t="s">
        <v>1199</v>
      </c>
      <c r="H212" s="110">
        <v>560</v>
      </c>
      <c r="I212" s="110">
        <f>H212-(0)/1000*$J$2</f>
        <v>560</v>
      </c>
      <c r="J212" s="144" t="s">
        <v>1628</v>
      </c>
    </row>
    <row r="213" spans="1:10" ht="168" x14ac:dyDescent="0.2">
      <c r="A213" s="107" t="s">
        <v>1529</v>
      </c>
      <c r="B213" s="101" t="s">
        <v>2102</v>
      </c>
      <c r="C213" s="144" t="s">
        <v>2103</v>
      </c>
      <c r="D213" s="103" t="s">
        <v>2104</v>
      </c>
      <c r="E213" s="144" t="s">
        <v>2105</v>
      </c>
      <c r="F213" s="62" t="s">
        <v>1387</v>
      </c>
      <c r="G213" s="111" t="s">
        <v>2193</v>
      </c>
      <c r="H213" s="110">
        <v>25582</v>
      </c>
      <c r="I213" s="110">
        <v>21855</v>
      </c>
      <c r="J213" s="144" t="s">
        <v>2194</v>
      </c>
    </row>
    <row r="214" spans="1:10" ht="132" x14ac:dyDescent="0.2">
      <c r="A214" s="107" t="s">
        <v>1715</v>
      </c>
      <c r="B214" s="101" t="s">
        <v>1690</v>
      </c>
      <c r="C214" s="144" t="s">
        <v>1962</v>
      </c>
      <c r="D214" s="103" t="s">
        <v>1380</v>
      </c>
      <c r="E214" s="144" t="s">
        <v>1902</v>
      </c>
      <c r="F214" s="62" t="s">
        <v>1125</v>
      </c>
      <c r="G214" s="62" t="s">
        <v>1164</v>
      </c>
      <c r="H214" s="110">
        <v>309</v>
      </c>
      <c r="I214" s="110">
        <f>H214-(0)/1000*$J$2</f>
        <v>309</v>
      </c>
      <c r="J214" s="144" t="s">
        <v>1629</v>
      </c>
    </row>
    <row r="215" spans="1:10" ht="72" x14ac:dyDescent="0.2">
      <c r="A215" s="107" t="s">
        <v>2048</v>
      </c>
      <c r="B215" s="102" t="s">
        <v>1705</v>
      </c>
      <c r="C215" s="144" t="s">
        <v>1963</v>
      </c>
      <c r="D215" s="103" t="s">
        <v>1706</v>
      </c>
      <c r="E215" s="144" t="s">
        <v>1707</v>
      </c>
      <c r="F215" s="62" t="s">
        <v>1384</v>
      </c>
      <c r="G215" s="62" t="s">
        <v>1379</v>
      </c>
      <c r="H215" s="110">
        <v>28000</v>
      </c>
      <c r="I215" s="110">
        <v>28000</v>
      </c>
      <c r="J215" s="144" t="s">
        <v>1743</v>
      </c>
    </row>
    <row r="216" spans="1:10" ht="72" x14ac:dyDescent="0.2">
      <c r="A216" s="107" t="s">
        <v>2086</v>
      </c>
      <c r="B216" s="101" t="s">
        <v>1606</v>
      </c>
      <c r="C216" s="144" t="s">
        <v>1964</v>
      </c>
      <c r="D216" s="103" t="s">
        <v>1388</v>
      </c>
      <c r="E216" s="144" t="s">
        <v>1389</v>
      </c>
      <c r="F216" s="112" t="s">
        <v>1165</v>
      </c>
      <c r="G216" s="111" t="s">
        <v>1164</v>
      </c>
      <c r="H216" s="110">
        <v>3195</v>
      </c>
      <c r="I216" s="110">
        <f>H216-(0)/1000*$J$2</f>
        <v>3195</v>
      </c>
      <c r="J216" s="144" t="s">
        <v>1741</v>
      </c>
    </row>
    <row r="217" spans="1:10" ht="192" x14ac:dyDescent="0.2">
      <c r="A217" s="107" t="s">
        <v>2062</v>
      </c>
      <c r="B217" s="101" t="s">
        <v>1607</v>
      </c>
      <c r="C217" s="144" t="s">
        <v>1965</v>
      </c>
      <c r="D217" s="103" t="s">
        <v>1381</v>
      </c>
      <c r="E217" s="144" t="s">
        <v>1382</v>
      </c>
      <c r="F217" s="62" t="s">
        <v>1164</v>
      </c>
      <c r="G217" s="112" t="s">
        <v>1379</v>
      </c>
      <c r="H217" s="110">
        <v>7000</v>
      </c>
      <c r="I217" s="110">
        <v>4342</v>
      </c>
      <c r="J217" s="144" t="s">
        <v>1744</v>
      </c>
    </row>
    <row r="218" spans="1:10" ht="72" x14ac:dyDescent="0.2">
      <c r="A218" s="107" t="s">
        <v>2087</v>
      </c>
      <c r="B218" s="101" t="s">
        <v>1608</v>
      </c>
      <c r="C218" s="144" t="s">
        <v>1966</v>
      </c>
      <c r="D218" s="103" t="s">
        <v>1390</v>
      </c>
      <c r="E218" s="144" t="s">
        <v>1609</v>
      </c>
      <c r="F218" s="112" t="s">
        <v>1125</v>
      </c>
      <c r="G218" s="145" t="s">
        <v>1384</v>
      </c>
      <c r="H218" s="110">
        <v>14306</v>
      </c>
      <c r="I218" s="110">
        <f>H218-(8406349+1400000)/1000*$J$2</f>
        <v>14306</v>
      </c>
      <c r="J218" s="144" t="s">
        <v>1745</v>
      </c>
    </row>
    <row r="219" spans="1:10" ht="132" x14ac:dyDescent="0.2">
      <c r="A219" s="107" t="s">
        <v>2063</v>
      </c>
      <c r="B219" s="101" t="s">
        <v>1690</v>
      </c>
      <c r="C219" s="144" t="s">
        <v>1967</v>
      </c>
      <c r="D219" s="103" t="s">
        <v>1375</v>
      </c>
      <c r="E219" s="144" t="s">
        <v>1903</v>
      </c>
      <c r="F219" s="62" t="s">
        <v>1384</v>
      </c>
      <c r="G219" s="62" t="s">
        <v>1374</v>
      </c>
      <c r="H219" s="110">
        <v>603</v>
      </c>
      <c r="I219" s="110">
        <f>H219-(0)/1000*$J$2</f>
        <v>603</v>
      </c>
      <c r="J219" s="144" t="s">
        <v>1629</v>
      </c>
    </row>
    <row r="220" spans="1:10" ht="132" x14ac:dyDescent="0.2">
      <c r="A220" s="107" t="s">
        <v>2088</v>
      </c>
      <c r="B220" s="101" t="s">
        <v>1690</v>
      </c>
      <c r="C220" s="144" t="s">
        <v>1968</v>
      </c>
      <c r="D220" s="103" t="s">
        <v>1376</v>
      </c>
      <c r="E220" s="144" t="s">
        <v>1610</v>
      </c>
      <c r="F220" s="62" t="s">
        <v>1374</v>
      </c>
      <c r="G220" s="62" t="s">
        <v>1374</v>
      </c>
      <c r="H220" s="110">
        <v>295</v>
      </c>
      <c r="I220" s="110">
        <f>H220-(0)/1000*$J$2</f>
        <v>295</v>
      </c>
      <c r="J220" s="144" t="s">
        <v>1629</v>
      </c>
    </row>
    <row r="221" spans="1:10" ht="132" x14ac:dyDescent="0.2">
      <c r="A221" s="107" t="s">
        <v>2089</v>
      </c>
      <c r="B221" s="101" t="s">
        <v>1690</v>
      </c>
      <c r="C221" s="144" t="s">
        <v>1969</v>
      </c>
      <c r="D221" s="103" t="s">
        <v>1377</v>
      </c>
      <c r="E221" s="144" t="s">
        <v>1611</v>
      </c>
      <c r="F221" s="62" t="s">
        <v>1379</v>
      </c>
      <c r="G221" s="62" t="s">
        <v>1379</v>
      </c>
      <c r="H221" s="110">
        <v>293</v>
      </c>
      <c r="I221" s="110">
        <f>H221-(0)/1000*$J$2</f>
        <v>293</v>
      </c>
      <c r="J221" s="144" t="s">
        <v>1629</v>
      </c>
    </row>
    <row r="222" spans="1:10" ht="108" x14ac:dyDescent="0.2">
      <c r="A222" s="107" t="s">
        <v>2126</v>
      </c>
      <c r="B222" s="101" t="s">
        <v>1612</v>
      </c>
      <c r="C222" s="144" t="s">
        <v>1970</v>
      </c>
      <c r="D222" s="103" t="s">
        <v>1904</v>
      </c>
      <c r="E222" s="144" t="s">
        <v>1385</v>
      </c>
      <c r="F222" s="62" t="s">
        <v>1384</v>
      </c>
      <c r="G222" s="62" t="s">
        <v>1379</v>
      </c>
      <c r="H222" s="110">
        <v>5200</v>
      </c>
      <c r="I222" s="110">
        <f>H222-(3500000)/1000*$I$2</f>
        <v>5200</v>
      </c>
      <c r="J222" s="144" t="s">
        <v>1627</v>
      </c>
    </row>
    <row r="223" spans="1:10" ht="72" x14ac:dyDescent="0.2">
      <c r="A223" s="107" t="s">
        <v>2127</v>
      </c>
      <c r="B223" s="101" t="s">
        <v>1613</v>
      </c>
      <c r="C223" s="144" t="s">
        <v>1971</v>
      </c>
      <c r="D223" s="103" t="s">
        <v>1392</v>
      </c>
      <c r="E223" s="144" t="s">
        <v>1614</v>
      </c>
      <c r="F223" s="112" t="s">
        <v>1164</v>
      </c>
      <c r="G223" s="145" t="s">
        <v>1384</v>
      </c>
      <c r="H223" s="110">
        <v>294</v>
      </c>
      <c r="I223" s="110">
        <f t="shared" ref="I223:I230" si="7">H223-(0)/1000*$J$2</f>
        <v>294</v>
      </c>
      <c r="J223" s="144" t="s">
        <v>1625</v>
      </c>
    </row>
    <row r="224" spans="1:10" ht="72" x14ac:dyDescent="0.2">
      <c r="A224" s="107" t="s">
        <v>2225</v>
      </c>
      <c r="B224" s="101" t="s">
        <v>1615</v>
      </c>
      <c r="C224" s="144" t="s">
        <v>1972</v>
      </c>
      <c r="D224" s="103" t="s">
        <v>1393</v>
      </c>
      <c r="E224" s="144" t="s">
        <v>1616</v>
      </c>
      <c r="F224" s="112" t="s">
        <v>1164</v>
      </c>
      <c r="G224" s="145" t="s">
        <v>1164</v>
      </c>
      <c r="H224" s="110">
        <v>273</v>
      </c>
      <c r="I224" s="110">
        <f t="shared" si="7"/>
        <v>273</v>
      </c>
      <c r="J224" s="144" t="s">
        <v>1626</v>
      </c>
    </row>
    <row r="225" spans="1:10" ht="384" x14ac:dyDescent="0.2">
      <c r="A225" s="107" t="s">
        <v>2128</v>
      </c>
      <c r="B225" s="101" t="s">
        <v>2077</v>
      </c>
      <c r="C225" s="144" t="s">
        <v>2078</v>
      </c>
      <c r="D225" s="103" t="s">
        <v>2079</v>
      </c>
      <c r="E225" s="144" t="s">
        <v>2080</v>
      </c>
      <c r="F225" s="62" t="s">
        <v>2064</v>
      </c>
      <c r="G225" s="111" t="s">
        <v>2081</v>
      </c>
      <c r="H225" s="110">
        <v>18255</v>
      </c>
      <c r="I225" s="110">
        <v>18255</v>
      </c>
      <c r="J225" s="49" t="s">
        <v>2082</v>
      </c>
    </row>
    <row r="226" spans="1:10" ht="120" x14ac:dyDescent="0.2">
      <c r="A226" s="107" t="s">
        <v>2129</v>
      </c>
      <c r="B226" s="101" t="s">
        <v>1617</v>
      </c>
      <c r="C226" s="144" t="s">
        <v>2040</v>
      </c>
      <c r="D226" s="103" t="s">
        <v>1905</v>
      </c>
      <c r="E226" s="144" t="s">
        <v>1383</v>
      </c>
      <c r="F226" s="112" t="s">
        <v>1384</v>
      </c>
      <c r="G226" s="145" t="s">
        <v>1199</v>
      </c>
      <c r="H226" s="110">
        <v>870</v>
      </c>
      <c r="I226" s="110">
        <f t="shared" si="7"/>
        <v>870</v>
      </c>
      <c r="J226" s="144" t="s">
        <v>1638</v>
      </c>
    </row>
    <row r="227" spans="1:10" ht="120" x14ac:dyDescent="0.2">
      <c r="A227" s="107" t="s">
        <v>2130</v>
      </c>
      <c r="B227" s="101" t="s">
        <v>1618</v>
      </c>
      <c r="C227" s="144" t="s">
        <v>1906</v>
      </c>
      <c r="D227" s="103" t="s">
        <v>1373</v>
      </c>
      <c r="E227" s="144" t="s">
        <v>1619</v>
      </c>
      <c r="F227" s="112" t="s">
        <v>1374</v>
      </c>
      <c r="G227" s="145">
        <v>43831</v>
      </c>
      <c r="H227" s="110">
        <v>304</v>
      </c>
      <c r="I227" s="110">
        <f t="shared" si="7"/>
        <v>304</v>
      </c>
      <c r="J227" s="144" t="s">
        <v>1637</v>
      </c>
    </row>
    <row r="228" spans="1:10" ht="96" x14ac:dyDescent="0.2">
      <c r="A228" s="107" t="s">
        <v>2131</v>
      </c>
      <c r="B228" s="101" t="s">
        <v>2143</v>
      </c>
      <c r="C228" s="144" t="s">
        <v>2144</v>
      </c>
      <c r="D228" s="103" t="s">
        <v>2145</v>
      </c>
      <c r="E228" s="144" t="s">
        <v>2146</v>
      </c>
      <c r="F228" s="62" t="s">
        <v>1630</v>
      </c>
      <c r="G228" s="111" t="s">
        <v>2195</v>
      </c>
      <c r="H228" s="110">
        <v>89262</v>
      </c>
      <c r="I228" s="110">
        <v>69642</v>
      </c>
      <c r="J228" s="144" t="s">
        <v>2196</v>
      </c>
    </row>
    <row r="229" spans="1:10" ht="60" x14ac:dyDescent="0.2">
      <c r="A229" s="107" t="s">
        <v>2179</v>
      </c>
      <c r="B229" s="102" t="s">
        <v>1692</v>
      </c>
      <c r="C229" s="144" t="s">
        <v>1839</v>
      </c>
      <c r="D229" s="103" t="s">
        <v>1394</v>
      </c>
      <c r="E229" s="144" t="s">
        <v>1620</v>
      </c>
      <c r="F229" s="112" t="s">
        <v>1374</v>
      </c>
      <c r="G229" s="112" t="s">
        <v>1374</v>
      </c>
      <c r="H229" s="110">
        <v>3</v>
      </c>
      <c r="I229" s="110">
        <f t="shared" si="7"/>
        <v>3</v>
      </c>
      <c r="J229" s="144" t="s">
        <v>1679</v>
      </c>
    </row>
    <row r="230" spans="1:10" ht="132" x14ac:dyDescent="0.2">
      <c r="A230" s="107" t="s">
        <v>2132</v>
      </c>
      <c r="B230" s="101" t="s">
        <v>1690</v>
      </c>
      <c r="C230" s="144" t="s">
        <v>1973</v>
      </c>
      <c r="D230" s="103" t="s">
        <v>1378</v>
      </c>
      <c r="E230" s="144" t="s">
        <v>1907</v>
      </c>
      <c r="F230" s="62" t="s">
        <v>1372</v>
      </c>
      <c r="G230" s="62" t="s">
        <v>1372</v>
      </c>
      <c r="H230" s="110">
        <v>346</v>
      </c>
      <c r="I230" s="110">
        <f t="shared" si="7"/>
        <v>346</v>
      </c>
      <c r="J230" s="144" t="s">
        <v>1629</v>
      </c>
    </row>
    <row r="231" spans="1:10" ht="84" x14ac:dyDescent="0.2">
      <c r="A231" s="107" t="s">
        <v>2133</v>
      </c>
      <c r="B231" s="101" t="s">
        <v>1621</v>
      </c>
      <c r="C231" s="144" t="s">
        <v>1974</v>
      </c>
      <c r="D231" s="103" t="s">
        <v>1391</v>
      </c>
      <c r="E231" s="144" t="s">
        <v>1622</v>
      </c>
      <c r="F231" s="112" t="s">
        <v>1372</v>
      </c>
      <c r="G231" s="145" t="s">
        <v>1372</v>
      </c>
      <c r="H231" s="110">
        <v>908</v>
      </c>
      <c r="I231" s="110">
        <f>H231-(704457)/1000*$J$2</f>
        <v>908</v>
      </c>
      <c r="J231" s="144" t="s">
        <v>1746</v>
      </c>
    </row>
    <row r="232" spans="1:10" ht="66" customHeight="1" x14ac:dyDescent="0.2">
      <c r="A232" s="107" t="s">
        <v>2180</v>
      </c>
      <c r="B232" s="102" t="s">
        <v>1747</v>
      </c>
      <c r="C232" s="144" t="s">
        <v>2052</v>
      </c>
      <c r="D232" s="103" t="s">
        <v>1700</v>
      </c>
      <c r="E232" s="144" t="s">
        <v>1908</v>
      </c>
      <c r="F232" s="62" t="s">
        <v>1372</v>
      </c>
      <c r="G232" s="62" t="s">
        <v>1199</v>
      </c>
      <c r="H232" s="110">
        <v>208</v>
      </c>
      <c r="I232" s="110">
        <f>H232-(0)/1000*$I$3</f>
        <v>208</v>
      </c>
      <c r="J232" s="144" t="s">
        <v>1716</v>
      </c>
    </row>
    <row r="233" spans="1:10" ht="156" x14ac:dyDescent="0.2">
      <c r="A233" s="107" t="s">
        <v>2140</v>
      </c>
      <c r="B233" s="118" t="s">
        <v>2141</v>
      </c>
      <c r="C233" s="119" t="s">
        <v>2142</v>
      </c>
      <c r="D233" s="116" t="s">
        <v>2072</v>
      </c>
      <c r="E233" s="144" t="s">
        <v>2076</v>
      </c>
      <c r="F233" s="111" t="s">
        <v>2069</v>
      </c>
      <c r="G233" s="62" t="s">
        <v>2051</v>
      </c>
      <c r="H233" s="111" t="s">
        <v>2071</v>
      </c>
      <c r="I233" s="110">
        <v>1803</v>
      </c>
      <c r="J233" s="117" t="s">
        <v>2065</v>
      </c>
    </row>
    <row r="234" spans="1:10" ht="96" x14ac:dyDescent="0.2">
      <c r="A234" s="107" t="s">
        <v>2181</v>
      </c>
      <c r="B234" s="101" t="s">
        <v>2098</v>
      </c>
      <c r="C234" s="99" t="s">
        <v>2099</v>
      </c>
      <c r="D234" s="103" t="s">
        <v>2100</v>
      </c>
      <c r="E234" s="144" t="s">
        <v>2101</v>
      </c>
      <c r="F234" s="111" t="s">
        <v>2069</v>
      </c>
      <c r="G234" s="62" t="s">
        <v>2061</v>
      </c>
      <c r="H234" s="111" t="s">
        <v>2197</v>
      </c>
      <c r="I234" s="110">
        <v>526</v>
      </c>
      <c r="J234" s="117" t="s">
        <v>2198</v>
      </c>
    </row>
    <row r="235" spans="1:10" ht="180" x14ac:dyDescent="0.2">
      <c r="A235" s="107" t="s">
        <v>2182</v>
      </c>
      <c r="B235" s="101" t="s">
        <v>1531</v>
      </c>
      <c r="C235" s="99" t="s">
        <v>2147</v>
      </c>
      <c r="D235" s="144" t="s">
        <v>2053</v>
      </c>
      <c r="E235" s="144" t="s">
        <v>2073</v>
      </c>
      <c r="F235" s="111" t="s">
        <v>2070</v>
      </c>
      <c r="G235" s="62" t="s">
        <v>1639</v>
      </c>
      <c r="H235" s="111" t="s">
        <v>2054</v>
      </c>
      <c r="I235" s="110">
        <v>560</v>
      </c>
      <c r="J235" s="117" t="s">
        <v>2066</v>
      </c>
    </row>
    <row r="236" spans="1:10" ht="108" x14ac:dyDescent="0.2">
      <c r="A236" s="107" t="s">
        <v>2183</v>
      </c>
      <c r="B236" s="101" t="s">
        <v>2074</v>
      </c>
      <c r="C236" s="144" t="s">
        <v>2083</v>
      </c>
      <c r="D236" s="103" t="s">
        <v>2055</v>
      </c>
      <c r="E236" s="144" t="s">
        <v>2056</v>
      </c>
      <c r="F236" s="62" t="s">
        <v>2051</v>
      </c>
      <c r="G236" s="111" t="s">
        <v>1639</v>
      </c>
      <c r="H236" s="110">
        <v>2150</v>
      </c>
      <c r="I236" s="104">
        <v>2150</v>
      </c>
      <c r="J236" s="134" t="s">
        <v>2067</v>
      </c>
    </row>
    <row r="237" spans="1:10" ht="108" x14ac:dyDescent="0.2">
      <c r="A237" s="107" t="s">
        <v>2184</v>
      </c>
      <c r="B237" s="101" t="s">
        <v>2075</v>
      </c>
      <c r="C237" s="144" t="s">
        <v>2084</v>
      </c>
      <c r="D237" s="103" t="s">
        <v>2057</v>
      </c>
      <c r="E237" s="144" t="s">
        <v>2058</v>
      </c>
      <c r="F237" s="62" t="s">
        <v>2051</v>
      </c>
      <c r="G237" s="111" t="s">
        <v>1639</v>
      </c>
      <c r="H237" s="110">
        <v>2780</v>
      </c>
      <c r="I237" s="104">
        <v>2780</v>
      </c>
      <c r="J237" s="134" t="s">
        <v>2067</v>
      </c>
    </row>
    <row r="238" spans="1:10" ht="84" x14ac:dyDescent="0.2">
      <c r="A238" s="107" t="s">
        <v>2185</v>
      </c>
      <c r="B238" s="101" t="s">
        <v>2109</v>
      </c>
      <c r="C238" s="144" t="s">
        <v>2110</v>
      </c>
      <c r="D238" s="103" t="s">
        <v>2111</v>
      </c>
      <c r="E238" s="144" t="s">
        <v>2112</v>
      </c>
      <c r="F238" s="62" t="s">
        <v>2051</v>
      </c>
      <c r="G238" s="111" t="s">
        <v>2113</v>
      </c>
      <c r="H238" s="110">
        <v>29614</v>
      </c>
      <c r="I238" s="104">
        <v>24915</v>
      </c>
      <c r="J238" s="144" t="s">
        <v>2199</v>
      </c>
    </row>
    <row r="239" spans="1:10" ht="84" x14ac:dyDescent="0.2">
      <c r="A239" s="107" t="s">
        <v>2186</v>
      </c>
      <c r="B239" s="101" t="s">
        <v>2115</v>
      </c>
      <c r="C239" s="144" t="s">
        <v>2110</v>
      </c>
      <c r="D239" s="103" t="s">
        <v>2116</v>
      </c>
      <c r="E239" s="144" t="s">
        <v>2117</v>
      </c>
      <c r="F239" s="62" t="s">
        <v>2051</v>
      </c>
      <c r="G239" s="111" t="s">
        <v>2118</v>
      </c>
      <c r="H239" s="110">
        <v>69739</v>
      </c>
      <c r="I239" s="104">
        <v>68266</v>
      </c>
      <c r="J239" s="144" t="s">
        <v>2200</v>
      </c>
    </row>
    <row r="240" spans="1:10" ht="168" x14ac:dyDescent="0.2">
      <c r="A240" s="107" t="s">
        <v>2187</v>
      </c>
      <c r="B240" s="101" t="s">
        <v>2074</v>
      </c>
      <c r="C240" s="144" t="s">
        <v>2152</v>
      </c>
      <c r="D240" s="103" t="s">
        <v>2153</v>
      </c>
      <c r="E240" s="144" t="s">
        <v>2154</v>
      </c>
      <c r="F240" s="111" t="s">
        <v>2051</v>
      </c>
      <c r="G240" s="111" t="s">
        <v>2139</v>
      </c>
      <c r="H240" s="110">
        <v>34722</v>
      </c>
      <c r="I240" s="104">
        <v>25024</v>
      </c>
      <c r="J240" s="144" t="s">
        <v>2201</v>
      </c>
    </row>
    <row r="241" spans="1:10" ht="144" x14ac:dyDescent="0.2">
      <c r="A241" s="107" t="s">
        <v>2188</v>
      </c>
      <c r="B241" s="101" t="s">
        <v>2119</v>
      </c>
      <c r="C241" s="144" t="s">
        <v>2085</v>
      </c>
      <c r="D241" s="103" t="s">
        <v>2059</v>
      </c>
      <c r="E241" s="144" t="s">
        <v>2120</v>
      </c>
      <c r="F241" s="111" t="s">
        <v>2060</v>
      </c>
      <c r="G241" s="111" t="s">
        <v>2061</v>
      </c>
      <c r="H241" s="110">
        <v>2858</v>
      </c>
      <c r="I241" s="104">
        <v>1721</v>
      </c>
      <c r="J241" s="144" t="s">
        <v>2068</v>
      </c>
    </row>
    <row r="242" spans="1:10" ht="120" x14ac:dyDescent="0.2">
      <c r="A242" s="107" t="s">
        <v>2189</v>
      </c>
      <c r="B242" s="101" t="s">
        <v>1272</v>
      </c>
      <c r="C242" s="144" t="s">
        <v>2155</v>
      </c>
      <c r="D242" s="103" t="s">
        <v>2156</v>
      </c>
      <c r="E242" s="144" t="s">
        <v>2157</v>
      </c>
      <c r="F242" s="62" t="s">
        <v>2064</v>
      </c>
      <c r="G242" s="111" t="s">
        <v>1639</v>
      </c>
      <c r="H242" s="110">
        <v>796</v>
      </c>
      <c r="I242" s="110">
        <v>796</v>
      </c>
      <c r="J242" s="144" t="s">
        <v>2212</v>
      </c>
    </row>
    <row r="243" spans="1:10" ht="120" x14ac:dyDescent="0.2">
      <c r="A243" s="107" t="s">
        <v>2190</v>
      </c>
      <c r="B243" s="101" t="s">
        <v>1272</v>
      </c>
      <c r="C243" s="144" t="s">
        <v>2158</v>
      </c>
      <c r="D243" s="103" t="s">
        <v>2159</v>
      </c>
      <c r="E243" s="144" t="s">
        <v>2160</v>
      </c>
      <c r="F243" s="62" t="s">
        <v>2064</v>
      </c>
      <c r="G243" s="111" t="s">
        <v>2161</v>
      </c>
      <c r="H243" s="110">
        <v>106</v>
      </c>
      <c r="I243" s="104">
        <v>106</v>
      </c>
      <c r="J243" s="144" t="s">
        <v>2211</v>
      </c>
    </row>
    <row r="244" spans="1:10" ht="72" x14ac:dyDescent="0.2">
      <c r="A244" s="107" t="s">
        <v>2191</v>
      </c>
      <c r="B244" s="101" t="s">
        <v>2162</v>
      </c>
      <c r="C244" s="144" t="s">
        <v>2163</v>
      </c>
      <c r="D244" s="103" t="s">
        <v>2164</v>
      </c>
      <c r="E244" s="144" t="s">
        <v>2213</v>
      </c>
      <c r="F244" s="62" t="s">
        <v>2064</v>
      </c>
      <c r="G244" s="111" t="s">
        <v>2097</v>
      </c>
      <c r="H244" s="110">
        <v>808</v>
      </c>
      <c r="I244" s="110">
        <v>808</v>
      </c>
      <c r="J244" s="144" t="s">
        <v>2210</v>
      </c>
    </row>
    <row r="245" spans="1:10" ht="120" x14ac:dyDescent="0.2">
      <c r="A245" s="107" t="s">
        <v>2192</v>
      </c>
      <c r="B245" s="101" t="s">
        <v>2121</v>
      </c>
      <c r="C245" s="144" t="s">
        <v>2122</v>
      </c>
      <c r="D245" s="103" t="s">
        <v>2123</v>
      </c>
      <c r="E245" s="144" t="s">
        <v>2124</v>
      </c>
      <c r="F245" s="62" t="s">
        <v>2064</v>
      </c>
      <c r="G245" s="111" t="s">
        <v>2125</v>
      </c>
      <c r="H245" s="110">
        <v>1384</v>
      </c>
      <c r="I245" s="104">
        <v>1384</v>
      </c>
      <c r="J245" s="144" t="s">
        <v>2209</v>
      </c>
    </row>
    <row r="246" spans="1:10" ht="120" x14ac:dyDescent="0.2">
      <c r="A246" s="107" t="s">
        <v>2357</v>
      </c>
      <c r="B246" s="101" t="s">
        <v>2165</v>
      </c>
      <c r="C246" s="144" t="s">
        <v>2166</v>
      </c>
      <c r="D246" s="103" t="s">
        <v>2167</v>
      </c>
      <c r="E246" s="144" t="s">
        <v>2168</v>
      </c>
      <c r="F246" s="62" t="s">
        <v>2064</v>
      </c>
      <c r="G246" s="111" t="s">
        <v>2097</v>
      </c>
      <c r="H246" s="110">
        <v>156</v>
      </c>
      <c r="I246" s="110">
        <v>156</v>
      </c>
      <c r="J246" s="144" t="s">
        <v>2208</v>
      </c>
    </row>
    <row r="247" spans="1:10" ht="96" x14ac:dyDescent="0.2">
      <c r="A247" s="107" t="s">
        <v>2358</v>
      </c>
      <c r="B247" s="101" t="s">
        <v>2090</v>
      </c>
      <c r="C247" s="144" t="s">
        <v>2091</v>
      </c>
      <c r="D247" s="103" t="s">
        <v>2092</v>
      </c>
      <c r="E247" s="144" t="s">
        <v>2214</v>
      </c>
      <c r="F247" s="62" t="s">
        <v>2064</v>
      </c>
      <c r="G247" s="62" t="s">
        <v>1639</v>
      </c>
      <c r="H247" s="110">
        <v>266</v>
      </c>
      <c r="I247" s="121">
        <v>266</v>
      </c>
      <c r="J247" s="144" t="s">
        <v>1629</v>
      </c>
    </row>
    <row r="248" spans="1:10" ht="120" x14ac:dyDescent="0.2">
      <c r="A248" s="107" t="s">
        <v>2359</v>
      </c>
      <c r="B248" s="101" t="s">
        <v>2093</v>
      </c>
      <c r="C248" s="144" t="s">
        <v>2094</v>
      </c>
      <c r="D248" s="103" t="s">
        <v>2095</v>
      </c>
      <c r="E248" s="144" t="s">
        <v>2096</v>
      </c>
      <c r="F248" s="62" t="s">
        <v>2097</v>
      </c>
      <c r="G248" s="62" t="s">
        <v>1639</v>
      </c>
      <c r="H248" s="110">
        <v>343</v>
      </c>
      <c r="I248" s="121">
        <v>343</v>
      </c>
      <c r="J248" s="144" t="s">
        <v>1629</v>
      </c>
    </row>
    <row r="249" spans="1:10" ht="216" x14ac:dyDescent="0.2">
      <c r="A249" s="107" t="s">
        <v>2360</v>
      </c>
      <c r="B249" s="101" t="s">
        <v>2074</v>
      </c>
      <c r="C249" s="144" t="s">
        <v>2169</v>
      </c>
      <c r="D249" s="103" t="s">
        <v>2170</v>
      </c>
      <c r="E249" s="144" t="s">
        <v>2171</v>
      </c>
      <c r="F249" s="62" t="s">
        <v>2061</v>
      </c>
      <c r="G249" s="62" t="s">
        <v>1639</v>
      </c>
      <c r="H249" s="110">
        <v>4604</v>
      </c>
      <c r="I249" s="104">
        <v>4604</v>
      </c>
      <c r="J249" s="49" t="s">
        <v>2206</v>
      </c>
    </row>
    <row r="250" spans="1:10" ht="120" x14ac:dyDescent="0.2">
      <c r="A250" s="107" t="s">
        <v>2361</v>
      </c>
      <c r="B250" s="101" t="s">
        <v>2172</v>
      </c>
      <c r="C250" s="144" t="s">
        <v>2173</v>
      </c>
      <c r="D250" s="103" t="s">
        <v>2174</v>
      </c>
      <c r="E250" s="144" t="s">
        <v>2175</v>
      </c>
      <c r="F250" s="62" t="s">
        <v>2061</v>
      </c>
      <c r="G250" s="62" t="s">
        <v>2176</v>
      </c>
      <c r="H250" s="110">
        <v>5475</v>
      </c>
      <c r="I250" s="104">
        <v>2742</v>
      </c>
      <c r="J250" s="49" t="s">
        <v>2207</v>
      </c>
    </row>
    <row r="251" spans="1:10" ht="96" x14ac:dyDescent="0.2">
      <c r="A251" s="107" t="s">
        <v>2362</v>
      </c>
      <c r="B251" s="101" t="s">
        <v>2106</v>
      </c>
      <c r="C251" s="144" t="s">
        <v>2215</v>
      </c>
      <c r="D251" s="103" t="s">
        <v>2107</v>
      </c>
      <c r="E251" s="144" t="s">
        <v>2108</v>
      </c>
      <c r="F251" s="62" t="s">
        <v>2061</v>
      </c>
      <c r="G251" s="62" t="s">
        <v>1639</v>
      </c>
      <c r="H251" s="110">
        <v>14340</v>
      </c>
      <c r="I251" s="104">
        <v>10499</v>
      </c>
      <c r="J251" s="49" t="s">
        <v>2205</v>
      </c>
    </row>
    <row r="252" spans="1:10" ht="156" x14ac:dyDescent="0.2">
      <c r="A252" s="107" t="s">
        <v>2363</v>
      </c>
      <c r="B252" s="101" t="s">
        <v>2134</v>
      </c>
      <c r="C252" s="144" t="s">
        <v>2216</v>
      </c>
      <c r="D252" s="103" t="s">
        <v>2137</v>
      </c>
      <c r="E252" s="144" t="s">
        <v>2138</v>
      </c>
      <c r="F252" s="62" t="s">
        <v>2114</v>
      </c>
      <c r="G252" s="62" t="s">
        <v>2139</v>
      </c>
      <c r="H252" s="124">
        <v>1269</v>
      </c>
      <c r="I252" s="124">
        <f>H252</f>
        <v>1269</v>
      </c>
      <c r="J252" s="57" t="s">
        <v>2204</v>
      </c>
    </row>
    <row r="253" spans="1:10" ht="120" x14ac:dyDescent="0.2">
      <c r="A253" s="107" t="s">
        <v>2364</v>
      </c>
      <c r="B253" s="101" t="s">
        <v>2217</v>
      </c>
      <c r="C253" s="143" t="s">
        <v>2218</v>
      </c>
      <c r="D253" s="103" t="s">
        <v>2219</v>
      </c>
      <c r="E253" s="144" t="s">
        <v>2220</v>
      </c>
      <c r="F253" s="120" t="s">
        <v>2114</v>
      </c>
      <c r="G253" s="123" t="s">
        <v>1750</v>
      </c>
      <c r="H253" s="125">
        <v>28000</v>
      </c>
      <c r="I253" s="125">
        <v>16100</v>
      </c>
      <c r="J253" s="127" t="s">
        <v>2246</v>
      </c>
    </row>
    <row r="254" spans="1:10" ht="156" x14ac:dyDescent="0.2">
      <c r="A254" s="107" t="s">
        <v>2365</v>
      </c>
      <c r="B254" s="101" t="s">
        <v>2134</v>
      </c>
      <c r="C254" s="144" t="s">
        <v>2221</v>
      </c>
      <c r="D254" s="103" t="s">
        <v>2135</v>
      </c>
      <c r="E254" s="144" t="s">
        <v>2136</v>
      </c>
      <c r="F254" s="62" t="s">
        <v>2114</v>
      </c>
      <c r="G254" s="62" t="s">
        <v>2113</v>
      </c>
      <c r="H254" s="63">
        <v>114</v>
      </c>
      <c r="I254" s="63">
        <v>114</v>
      </c>
      <c r="J254" s="58" t="s">
        <v>2203</v>
      </c>
    </row>
    <row r="255" spans="1:10" ht="156" x14ac:dyDescent="0.2">
      <c r="A255" s="107" t="s">
        <v>2366</v>
      </c>
      <c r="B255" s="101" t="s">
        <v>2134</v>
      </c>
      <c r="C255" s="144" t="s">
        <v>2221</v>
      </c>
      <c r="D255" s="103" t="s">
        <v>2177</v>
      </c>
      <c r="E255" s="144" t="s">
        <v>2178</v>
      </c>
      <c r="F255" s="62" t="s">
        <v>2161</v>
      </c>
      <c r="G255" s="62" t="s">
        <v>2161</v>
      </c>
      <c r="H255" s="110">
        <v>193</v>
      </c>
      <c r="I255" s="110">
        <v>193</v>
      </c>
      <c r="J255" s="49" t="s">
        <v>2203</v>
      </c>
    </row>
    <row r="256" spans="1:10" ht="72" x14ac:dyDescent="0.2">
      <c r="A256" s="107" t="s">
        <v>2436</v>
      </c>
      <c r="B256" s="101" t="s">
        <v>2148</v>
      </c>
      <c r="C256" s="144" t="s">
        <v>2149</v>
      </c>
      <c r="D256" s="103" t="s">
        <v>2150</v>
      </c>
      <c r="E256" s="144" t="s">
        <v>2151</v>
      </c>
      <c r="F256" s="62" t="s">
        <v>1639</v>
      </c>
      <c r="G256" s="62" t="s">
        <v>2113</v>
      </c>
      <c r="H256" s="110">
        <v>1304</v>
      </c>
      <c r="I256" s="104">
        <v>1304</v>
      </c>
      <c r="J256" s="122" t="s">
        <v>2202</v>
      </c>
    </row>
    <row r="257" spans="1:10" ht="156" x14ac:dyDescent="0.2">
      <c r="A257" s="107" t="s">
        <v>2437</v>
      </c>
      <c r="B257" s="101" t="s">
        <v>2077</v>
      </c>
      <c r="C257" s="143" t="s">
        <v>2221</v>
      </c>
      <c r="D257" s="103" t="s">
        <v>2222</v>
      </c>
      <c r="E257" s="99" t="s">
        <v>2223</v>
      </c>
      <c r="F257" s="62" t="s">
        <v>2224</v>
      </c>
      <c r="G257" s="62" t="s">
        <v>2139</v>
      </c>
      <c r="H257" s="124">
        <v>1083</v>
      </c>
      <c r="I257" s="124">
        <v>1083</v>
      </c>
      <c r="J257" s="57" t="s">
        <v>2223</v>
      </c>
    </row>
    <row r="258" spans="1:10" ht="108" x14ac:dyDescent="0.2">
      <c r="A258" s="107" t="s">
        <v>2438</v>
      </c>
      <c r="B258" s="101" t="s">
        <v>2226</v>
      </c>
      <c r="C258" s="144" t="s">
        <v>2227</v>
      </c>
      <c r="D258" s="103" t="s">
        <v>2228</v>
      </c>
      <c r="E258" s="144" t="s">
        <v>2229</v>
      </c>
      <c r="F258" s="62" t="s">
        <v>2176</v>
      </c>
      <c r="G258" s="128" t="s">
        <v>1750</v>
      </c>
      <c r="H258" s="126">
        <v>2231</v>
      </c>
      <c r="I258" s="126">
        <v>2231</v>
      </c>
      <c r="J258" s="127" t="s">
        <v>2245</v>
      </c>
    </row>
    <row r="259" spans="1:10" ht="72" x14ac:dyDescent="0.2">
      <c r="A259" s="107" t="s">
        <v>2439</v>
      </c>
      <c r="B259" s="101" t="s">
        <v>2148</v>
      </c>
      <c r="C259" s="144" t="s">
        <v>2230</v>
      </c>
      <c r="D259" s="103" t="s">
        <v>2231</v>
      </c>
      <c r="E259" s="144" t="s">
        <v>2232</v>
      </c>
      <c r="F259" s="62" t="s">
        <v>2176</v>
      </c>
      <c r="G259" s="128" t="s">
        <v>2176</v>
      </c>
      <c r="H259" s="126">
        <v>30</v>
      </c>
      <c r="I259" s="126">
        <v>30</v>
      </c>
      <c r="J259" s="127" t="s">
        <v>2247</v>
      </c>
    </row>
    <row r="260" spans="1:10" ht="108" x14ac:dyDescent="0.2">
      <c r="A260" s="107" t="s">
        <v>2440</v>
      </c>
      <c r="B260" s="102" t="s">
        <v>2233</v>
      </c>
      <c r="C260" s="129" t="s">
        <v>2234</v>
      </c>
      <c r="D260" s="103" t="s">
        <v>2235</v>
      </c>
      <c r="E260" s="144" t="s">
        <v>2236</v>
      </c>
      <c r="F260" s="62" t="s">
        <v>2237</v>
      </c>
      <c r="G260" s="128" t="s">
        <v>1750</v>
      </c>
      <c r="H260" s="126">
        <v>2880</v>
      </c>
      <c r="I260" s="126">
        <v>2880</v>
      </c>
      <c r="J260" s="127" t="s">
        <v>2244</v>
      </c>
    </row>
    <row r="261" spans="1:10" ht="132" x14ac:dyDescent="0.2">
      <c r="A261" s="107" t="s">
        <v>2441</v>
      </c>
      <c r="B261" s="101" t="s">
        <v>2148</v>
      </c>
      <c r="C261" s="144" t="s">
        <v>2230</v>
      </c>
      <c r="D261" s="103" t="s">
        <v>2238</v>
      </c>
      <c r="E261" s="144" t="s">
        <v>2239</v>
      </c>
      <c r="F261" s="62" t="s">
        <v>2240</v>
      </c>
      <c r="G261" s="128" t="s">
        <v>2240</v>
      </c>
      <c r="H261" s="126">
        <v>207</v>
      </c>
      <c r="I261" s="126">
        <v>207</v>
      </c>
      <c r="J261" s="127" t="s">
        <v>2248</v>
      </c>
    </row>
    <row r="262" spans="1:10" ht="72" x14ac:dyDescent="0.2">
      <c r="A262" s="107" t="s">
        <v>2442</v>
      </c>
      <c r="B262" s="101" t="s">
        <v>2148</v>
      </c>
      <c r="C262" s="144" t="s">
        <v>2230</v>
      </c>
      <c r="D262" s="103" t="s">
        <v>2241</v>
      </c>
      <c r="E262" s="144" t="s">
        <v>2242</v>
      </c>
      <c r="F262" s="62" t="s">
        <v>2240</v>
      </c>
      <c r="G262" s="128" t="s">
        <v>2240</v>
      </c>
      <c r="H262" s="126">
        <v>487</v>
      </c>
      <c r="I262" s="126">
        <v>487</v>
      </c>
      <c r="J262" s="127" t="s">
        <v>2243</v>
      </c>
    </row>
    <row r="263" spans="1:10" ht="96" x14ac:dyDescent="0.2">
      <c r="A263" s="107" t="s">
        <v>2443</v>
      </c>
      <c r="B263" s="101" t="s">
        <v>2249</v>
      </c>
      <c r="C263" s="144" t="s">
        <v>2250</v>
      </c>
      <c r="D263" s="103" t="s">
        <v>2251</v>
      </c>
      <c r="E263" s="144" t="s">
        <v>2252</v>
      </c>
      <c r="F263" s="62" t="s">
        <v>2240</v>
      </c>
      <c r="G263" s="111" t="s">
        <v>2253</v>
      </c>
      <c r="H263" s="110">
        <v>46409</v>
      </c>
      <c r="I263" s="110">
        <v>39491</v>
      </c>
      <c r="J263" s="49" t="s">
        <v>2339</v>
      </c>
    </row>
    <row r="264" spans="1:10" ht="72" x14ac:dyDescent="0.2">
      <c r="A264" s="107" t="s">
        <v>2444</v>
      </c>
      <c r="B264" s="101" t="s">
        <v>2254</v>
      </c>
      <c r="C264" s="144" t="s">
        <v>2255</v>
      </c>
      <c r="D264" s="103" t="s">
        <v>2256</v>
      </c>
      <c r="E264" s="144" t="s">
        <v>2257</v>
      </c>
      <c r="F264" s="62" t="s">
        <v>2240</v>
      </c>
      <c r="G264" s="111" t="s">
        <v>2258</v>
      </c>
      <c r="H264" s="110">
        <v>14730</v>
      </c>
      <c r="I264" s="110">
        <v>13230</v>
      </c>
      <c r="J264" s="49" t="s">
        <v>2356</v>
      </c>
    </row>
    <row r="265" spans="1:10" ht="96" x14ac:dyDescent="0.2">
      <c r="A265" s="107" t="s">
        <v>2445</v>
      </c>
      <c r="B265" s="101" t="s">
        <v>2259</v>
      </c>
      <c r="C265" s="144" t="s">
        <v>2260</v>
      </c>
      <c r="D265" s="103" t="s">
        <v>2261</v>
      </c>
      <c r="E265" s="144" t="s">
        <v>2262</v>
      </c>
      <c r="F265" s="62" t="s">
        <v>2263</v>
      </c>
      <c r="G265" s="111" t="s">
        <v>2264</v>
      </c>
      <c r="H265" s="110">
        <v>5249</v>
      </c>
      <c r="I265" s="110">
        <v>2636</v>
      </c>
      <c r="J265" s="49" t="s">
        <v>2340</v>
      </c>
    </row>
    <row r="266" spans="1:10" ht="96" x14ac:dyDescent="0.2">
      <c r="A266" s="107" t="s">
        <v>2446</v>
      </c>
      <c r="B266" s="101" t="s">
        <v>2265</v>
      </c>
      <c r="C266" s="144" t="s">
        <v>2266</v>
      </c>
      <c r="D266" s="103" t="s">
        <v>2267</v>
      </c>
      <c r="E266" s="144" t="s">
        <v>2268</v>
      </c>
      <c r="F266" s="62" t="s">
        <v>2263</v>
      </c>
      <c r="G266" s="111" t="s">
        <v>2264</v>
      </c>
      <c r="H266" s="110">
        <v>4250</v>
      </c>
      <c r="I266" s="110">
        <v>2027</v>
      </c>
      <c r="J266" s="49" t="s">
        <v>2342</v>
      </c>
    </row>
    <row r="267" spans="1:10" ht="156" x14ac:dyDescent="0.2">
      <c r="A267" s="107" t="s">
        <v>2447</v>
      </c>
      <c r="B267" s="101" t="s">
        <v>2269</v>
      </c>
      <c r="C267" s="144" t="s">
        <v>2221</v>
      </c>
      <c r="D267" s="103" t="s">
        <v>2270</v>
      </c>
      <c r="E267" s="144" t="s">
        <v>2271</v>
      </c>
      <c r="F267" s="62" t="s">
        <v>2263</v>
      </c>
      <c r="G267" s="111" t="s">
        <v>2263</v>
      </c>
      <c r="H267" s="110">
        <v>28</v>
      </c>
      <c r="I267" s="110">
        <v>28</v>
      </c>
      <c r="J267" s="49" t="s">
        <v>2341</v>
      </c>
    </row>
    <row r="268" spans="1:10" ht="120" x14ac:dyDescent="0.2">
      <c r="A268" s="107" t="s">
        <v>2448</v>
      </c>
      <c r="B268" s="101" t="s">
        <v>2272</v>
      </c>
      <c r="C268" s="144" t="s">
        <v>2273</v>
      </c>
      <c r="D268" s="103" t="s">
        <v>2274</v>
      </c>
      <c r="E268" s="144" t="s">
        <v>2275</v>
      </c>
      <c r="F268" s="62" t="s">
        <v>2263</v>
      </c>
      <c r="G268" s="111" t="s">
        <v>2276</v>
      </c>
      <c r="H268" s="110">
        <v>22337</v>
      </c>
      <c r="I268" s="110">
        <v>22337</v>
      </c>
      <c r="J268" s="49" t="s">
        <v>2352</v>
      </c>
    </row>
    <row r="269" spans="1:10" ht="84" x14ac:dyDescent="0.2">
      <c r="A269" s="107" t="s">
        <v>2449</v>
      </c>
      <c r="B269" s="101" t="s">
        <v>2277</v>
      </c>
      <c r="C269" s="144" t="s">
        <v>2278</v>
      </c>
      <c r="D269" s="103" t="s">
        <v>2279</v>
      </c>
      <c r="E269" s="144" t="s">
        <v>2280</v>
      </c>
      <c r="F269" s="62" t="s">
        <v>2263</v>
      </c>
      <c r="G269" s="111" t="s">
        <v>2281</v>
      </c>
      <c r="H269" s="110">
        <v>18280</v>
      </c>
      <c r="I269" s="110">
        <v>16780</v>
      </c>
      <c r="J269" s="49" t="s">
        <v>2343</v>
      </c>
    </row>
    <row r="270" spans="1:10" ht="84" x14ac:dyDescent="0.2">
      <c r="A270" s="107" t="s">
        <v>2450</v>
      </c>
      <c r="B270" s="101" t="s">
        <v>2282</v>
      </c>
      <c r="C270" s="144" t="s">
        <v>2283</v>
      </c>
      <c r="D270" s="103" t="s">
        <v>2284</v>
      </c>
      <c r="E270" s="144" t="s">
        <v>2285</v>
      </c>
      <c r="F270" s="62" t="s">
        <v>2118</v>
      </c>
      <c r="G270" s="111" t="s">
        <v>2286</v>
      </c>
      <c r="H270" s="110">
        <v>2050</v>
      </c>
      <c r="I270" s="110">
        <v>2050</v>
      </c>
      <c r="J270" s="49" t="s">
        <v>2203</v>
      </c>
    </row>
    <row r="271" spans="1:10" ht="84" x14ac:dyDescent="0.2">
      <c r="A271" s="107" t="s">
        <v>2451</v>
      </c>
      <c r="B271" s="101" t="s">
        <v>2287</v>
      </c>
      <c r="C271" s="144" t="s">
        <v>2288</v>
      </c>
      <c r="D271" s="103" t="s">
        <v>2289</v>
      </c>
      <c r="E271" s="144" t="s">
        <v>2290</v>
      </c>
      <c r="F271" s="62" t="s">
        <v>2118</v>
      </c>
      <c r="G271" s="111" t="s">
        <v>2291</v>
      </c>
      <c r="H271" s="110">
        <v>21600</v>
      </c>
      <c r="I271" s="110">
        <v>21600</v>
      </c>
      <c r="J271" s="49" t="s">
        <v>2353</v>
      </c>
    </row>
    <row r="272" spans="1:10" ht="96" x14ac:dyDescent="0.2">
      <c r="A272" s="107" t="s">
        <v>2452</v>
      </c>
      <c r="B272" s="101" t="s">
        <v>2293</v>
      </c>
      <c r="C272" s="144" t="s">
        <v>2294</v>
      </c>
      <c r="D272" s="103" t="s">
        <v>2295</v>
      </c>
      <c r="E272" s="144" t="s">
        <v>2296</v>
      </c>
      <c r="F272" s="62" t="s">
        <v>2297</v>
      </c>
      <c r="G272" s="111" t="s">
        <v>2286</v>
      </c>
      <c r="H272" s="110">
        <v>562</v>
      </c>
      <c r="I272" s="110">
        <v>562</v>
      </c>
      <c r="J272" s="49" t="s">
        <v>2344</v>
      </c>
    </row>
    <row r="273" spans="1:10" ht="108" x14ac:dyDescent="0.2">
      <c r="A273" s="107" t="s">
        <v>2453</v>
      </c>
      <c r="B273" s="101" t="s">
        <v>2298</v>
      </c>
      <c r="C273" s="144" t="s">
        <v>2299</v>
      </c>
      <c r="D273" s="103" t="s">
        <v>2300</v>
      </c>
      <c r="E273" s="144" t="s">
        <v>2301</v>
      </c>
      <c r="F273" s="62" t="s">
        <v>2297</v>
      </c>
      <c r="G273" s="111" t="s">
        <v>2302</v>
      </c>
      <c r="H273" s="110">
        <v>104</v>
      </c>
      <c r="I273" s="110">
        <v>104</v>
      </c>
      <c r="J273" s="49" t="s">
        <v>2345</v>
      </c>
    </row>
    <row r="274" spans="1:10" ht="72" x14ac:dyDescent="0.2">
      <c r="A274" s="107" t="s">
        <v>2454</v>
      </c>
      <c r="B274" s="101" t="s">
        <v>2148</v>
      </c>
      <c r="C274" s="144" t="s">
        <v>2303</v>
      </c>
      <c r="D274" s="103" t="s">
        <v>2304</v>
      </c>
      <c r="E274" s="144" t="s">
        <v>2305</v>
      </c>
      <c r="F274" s="62" t="s">
        <v>2118</v>
      </c>
      <c r="G274" s="111" t="s">
        <v>2302</v>
      </c>
      <c r="H274" s="110">
        <v>677</v>
      </c>
      <c r="I274" s="110">
        <v>677</v>
      </c>
      <c r="J274" s="49" t="s">
        <v>2346</v>
      </c>
    </row>
    <row r="275" spans="1:10" ht="72" x14ac:dyDescent="0.2">
      <c r="A275" s="107" t="s">
        <v>2455</v>
      </c>
      <c r="B275" s="101" t="s">
        <v>2306</v>
      </c>
      <c r="C275" s="144" t="s">
        <v>2307</v>
      </c>
      <c r="D275" s="103" t="s">
        <v>2308</v>
      </c>
      <c r="E275" s="144" t="s">
        <v>2309</v>
      </c>
      <c r="F275" s="62" t="s">
        <v>2302</v>
      </c>
      <c r="G275" s="111" t="s">
        <v>1750</v>
      </c>
      <c r="H275" s="110">
        <v>915</v>
      </c>
      <c r="I275" s="110">
        <v>915</v>
      </c>
      <c r="J275" s="49" t="s">
        <v>2347</v>
      </c>
    </row>
    <row r="276" spans="1:10" ht="84" x14ac:dyDescent="0.2">
      <c r="A276" s="107" t="s">
        <v>2456</v>
      </c>
      <c r="B276" s="101" t="s">
        <v>2310</v>
      </c>
      <c r="C276" s="144" t="s">
        <v>2311</v>
      </c>
      <c r="D276" s="103" t="s">
        <v>2312</v>
      </c>
      <c r="E276" s="144" t="s">
        <v>2313</v>
      </c>
      <c r="F276" s="62" t="s">
        <v>2237</v>
      </c>
      <c r="G276" s="111" t="s">
        <v>2314</v>
      </c>
      <c r="H276" s="113">
        <v>89892</v>
      </c>
      <c r="I276" s="113">
        <v>89892</v>
      </c>
      <c r="J276" s="49" t="s">
        <v>2354</v>
      </c>
    </row>
    <row r="277" spans="1:10" ht="72" x14ac:dyDescent="0.2">
      <c r="A277" s="107" t="s">
        <v>2457</v>
      </c>
      <c r="B277" s="101" t="s">
        <v>2315</v>
      </c>
      <c r="C277" s="144" t="s">
        <v>2292</v>
      </c>
      <c r="D277" s="103" t="s">
        <v>2316</v>
      </c>
      <c r="E277" s="144" t="s">
        <v>2317</v>
      </c>
      <c r="F277" s="62" t="s">
        <v>2264</v>
      </c>
      <c r="G277" s="111" t="s">
        <v>2318</v>
      </c>
      <c r="H277" s="110">
        <v>5061</v>
      </c>
      <c r="I277" s="110">
        <v>2011</v>
      </c>
      <c r="J277" s="49" t="s">
        <v>2348</v>
      </c>
    </row>
    <row r="278" spans="1:10" ht="60" x14ac:dyDescent="0.2">
      <c r="A278" s="107" t="s">
        <v>2458</v>
      </c>
      <c r="B278" s="101" t="s">
        <v>2319</v>
      </c>
      <c r="C278" s="144" t="s">
        <v>2273</v>
      </c>
      <c r="D278" s="103" t="s">
        <v>2320</v>
      </c>
      <c r="E278" s="144" t="s">
        <v>2321</v>
      </c>
      <c r="F278" s="62" t="s">
        <v>2264</v>
      </c>
      <c r="G278" s="111" t="s">
        <v>2322</v>
      </c>
      <c r="H278" s="110">
        <v>12302</v>
      </c>
      <c r="I278" s="110">
        <v>12302</v>
      </c>
      <c r="J278" s="49" t="s">
        <v>2355</v>
      </c>
    </row>
    <row r="279" spans="1:10" ht="72" x14ac:dyDescent="0.2">
      <c r="A279" s="107" t="s">
        <v>2459</v>
      </c>
      <c r="B279" s="101" t="s">
        <v>2148</v>
      </c>
      <c r="C279" s="144" t="s">
        <v>2323</v>
      </c>
      <c r="D279" s="103" t="s">
        <v>2324</v>
      </c>
      <c r="E279" s="144" t="s">
        <v>2325</v>
      </c>
      <c r="F279" s="62" t="s">
        <v>2264</v>
      </c>
      <c r="G279" s="111" t="s">
        <v>2326</v>
      </c>
      <c r="H279" s="110">
        <v>422</v>
      </c>
      <c r="I279" s="110">
        <v>422</v>
      </c>
      <c r="J279" s="49" t="s">
        <v>2367</v>
      </c>
    </row>
    <row r="280" spans="1:10" ht="72" x14ac:dyDescent="0.2">
      <c r="A280" s="107" t="s">
        <v>2460</v>
      </c>
      <c r="B280" s="101" t="s">
        <v>2148</v>
      </c>
      <c r="C280" s="144" t="s">
        <v>2328</v>
      </c>
      <c r="D280" s="103" t="s">
        <v>2329</v>
      </c>
      <c r="E280" s="144" t="s">
        <v>2330</v>
      </c>
      <c r="F280" s="62" t="s">
        <v>1750</v>
      </c>
      <c r="G280" s="111" t="s">
        <v>1750</v>
      </c>
      <c r="H280" s="110">
        <v>898</v>
      </c>
      <c r="I280" s="110">
        <v>898</v>
      </c>
      <c r="J280" s="49" t="s">
        <v>2349</v>
      </c>
    </row>
    <row r="281" spans="1:10" ht="96" x14ac:dyDescent="0.2">
      <c r="A281" s="107" t="s">
        <v>2461</v>
      </c>
      <c r="B281" s="101" t="s">
        <v>2331</v>
      </c>
      <c r="C281" s="144" t="s">
        <v>2332</v>
      </c>
      <c r="D281" s="103" t="s">
        <v>2335</v>
      </c>
      <c r="E281" s="49" t="s">
        <v>2336</v>
      </c>
      <c r="F281" s="62" t="s">
        <v>2333</v>
      </c>
      <c r="G281" s="62" t="s">
        <v>2327</v>
      </c>
      <c r="H281" s="104">
        <v>1874</v>
      </c>
      <c r="I281" s="104">
        <v>1874</v>
      </c>
      <c r="J281" s="49" t="s">
        <v>2350</v>
      </c>
    </row>
    <row r="282" spans="1:10" ht="108" x14ac:dyDescent="0.2">
      <c r="A282" s="107" t="s">
        <v>2462</v>
      </c>
      <c r="B282" s="102" t="s">
        <v>2233</v>
      </c>
      <c r="C282" s="129" t="s">
        <v>2234</v>
      </c>
      <c r="D282" s="103" t="s">
        <v>2337</v>
      </c>
      <c r="E282" s="144" t="s">
        <v>2338</v>
      </c>
      <c r="F282" s="62" t="s">
        <v>2333</v>
      </c>
      <c r="G282" s="62" t="s">
        <v>2334</v>
      </c>
      <c r="H282" s="104">
        <v>2925</v>
      </c>
      <c r="I282" s="104">
        <v>925</v>
      </c>
      <c r="J282" s="49" t="s">
        <v>2351</v>
      </c>
    </row>
    <row r="283" spans="1:10" ht="108" x14ac:dyDescent="0.2">
      <c r="A283" s="107" t="s">
        <v>2463</v>
      </c>
      <c r="B283" s="101" t="s">
        <v>2368</v>
      </c>
      <c r="C283" s="144" t="s">
        <v>2369</v>
      </c>
      <c r="D283" s="103" t="s">
        <v>2370</v>
      </c>
      <c r="E283" s="144" t="s">
        <v>2371</v>
      </c>
      <c r="F283" s="62" t="s">
        <v>2333</v>
      </c>
      <c r="G283" s="111" t="s">
        <v>2372</v>
      </c>
      <c r="H283" s="132">
        <v>82020</v>
      </c>
      <c r="I283" s="132">
        <v>81000</v>
      </c>
      <c r="J283" s="136" t="s">
        <v>2433</v>
      </c>
    </row>
    <row r="284" spans="1:10" ht="48" x14ac:dyDescent="0.2">
      <c r="A284" s="107" t="s">
        <v>2464</v>
      </c>
      <c r="B284" s="101" t="s">
        <v>2373</v>
      </c>
      <c r="C284" s="144" t="s">
        <v>2374</v>
      </c>
      <c r="D284" s="103" t="s">
        <v>2375</v>
      </c>
      <c r="E284" s="144" t="s">
        <v>2376</v>
      </c>
      <c r="F284" s="62" t="s">
        <v>2333</v>
      </c>
      <c r="G284" s="111" t="s">
        <v>2377</v>
      </c>
      <c r="H284" s="132">
        <v>7448</v>
      </c>
      <c r="I284" s="132">
        <v>7448</v>
      </c>
      <c r="J284" s="136" t="s">
        <v>2425</v>
      </c>
    </row>
    <row r="285" spans="1:10" ht="96" x14ac:dyDescent="0.2">
      <c r="A285" s="107" t="s">
        <v>2465</v>
      </c>
      <c r="B285" s="101" t="s">
        <v>2378</v>
      </c>
      <c r="C285" s="144" t="s">
        <v>2379</v>
      </c>
      <c r="D285" s="103" t="s">
        <v>2380</v>
      </c>
      <c r="E285" s="144" t="s">
        <v>2381</v>
      </c>
      <c r="F285" s="62" t="s">
        <v>2327</v>
      </c>
      <c r="G285" s="111" t="s">
        <v>2382</v>
      </c>
      <c r="H285" s="132">
        <v>47209</v>
      </c>
      <c r="I285" s="132">
        <v>47209</v>
      </c>
      <c r="J285" s="136" t="s">
        <v>2426</v>
      </c>
    </row>
    <row r="286" spans="1:10" ht="108" x14ac:dyDescent="0.2">
      <c r="A286" s="107" t="s">
        <v>2466</v>
      </c>
      <c r="B286" s="101" t="s">
        <v>2383</v>
      </c>
      <c r="C286" s="144" t="s">
        <v>2629</v>
      </c>
      <c r="D286" s="103" t="s">
        <v>2384</v>
      </c>
      <c r="E286" s="144" t="s">
        <v>2385</v>
      </c>
      <c r="F286" s="120" t="s">
        <v>2386</v>
      </c>
      <c r="G286" s="120" t="s">
        <v>2291</v>
      </c>
      <c r="H286" s="132">
        <v>4165</v>
      </c>
      <c r="I286" s="132">
        <v>4165</v>
      </c>
      <c r="J286" s="136" t="s">
        <v>2427</v>
      </c>
    </row>
    <row r="287" spans="1:10" ht="60" x14ac:dyDescent="0.2">
      <c r="A287" s="107" t="s">
        <v>2467</v>
      </c>
      <c r="B287" s="102" t="s">
        <v>2387</v>
      </c>
      <c r="C287" s="129" t="s">
        <v>2388</v>
      </c>
      <c r="D287" s="103" t="s">
        <v>2389</v>
      </c>
      <c r="E287" s="144" t="s">
        <v>2390</v>
      </c>
      <c r="F287" s="120" t="s">
        <v>2391</v>
      </c>
      <c r="G287" s="120" t="s">
        <v>2392</v>
      </c>
      <c r="H287" s="132">
        <v>767</v>
      </c>
      <c r="I287" s="132">
        <v>767</v>
      </c>
      <c r="J287" s="136" t="s">
        <v>2435</v>
      </c>
    </row>
    <row r="288" spans="1:10" ht="84" x14ac:dyDescent="0.2">
      <c r="A288" s="107" t="s">
        <v>2468</v>
      </c>
      <c r="B288" s="101" t="s">
        <v>2393</v>
      </c>
      <c r="C288" s="144" t="s">
        <v>2394</v>
      </c>
      <c r="D288" s="103" t="s">
        <v>2395</v>
      </c>
      <c r="E288" s="144" t="s">
        <v>2396</v>
      </c>
      <c r="F288" s="62" t="s">
        <v>2391</v>
      </c>
      <c r="G288" s="111" t="s">
        <v>2397</v>
      </c>
      <c r="H288" s="132">
        <v>153</v>
      </c>
      <c r="I288" s="132">
        <v>153</v>
      </c>
      <c r="J288" s="136" t="s">
        <v>2428</v>
      </c>
    </row>
    <row r="289" spans="1:10" ht="96" x14ac:dyDescent="0.2">
      <c r="A289" s="107" t="s">
        <v>2469</v>
      </c>
      <c r="B289" s="101" t="s">
        <v>2398</v>
      </c>
      <c r="C289" s="144" t="s">
        <v>2294</v>
      </c>
      <c r="D289" s="103" t="s">
        <v>2399</v>
      </c>
      <c r="E289" s="144" t="s">
        <v>2400</v>
      </c>
      <c r="F289" s="62" t="s">
        <v>2391</v>
      </c>
      <c r="G289" s="111" t="s">
        <v>2392</v>
      </c>
      <c r="H289" s="132">
        <v>9769</v>
      </c>
      <c r="I289" s="132">
        <v>9769</v>
      </c>
      <c r="J289" s="136" t="s">
        <v>2429</v>
      </c>
    </row>
    <row r="290" spans="1:10" ht="72" x14ac:dyDescent="0.2">
      <c r="A290" s="107" t="s">
        <v>2470</v>
      </c>
      <c r="B290" s="101" t="s">
        <v>2148</v>
      </c>
      <c r="C290" s="144" t="s">
        <v>2323</v>
      </c>
      <c r="D290" s="103" t="s">
        <v>2401</v>
      </c>
      <c r="E290" s="144" t="s">
        <v>2402</v>
      </c>
      <c r="F290" s="62" t="s">
        <v>2391</v>
      </c>
      <c r="G290" s="111" t="s">
        <v>2391</v>
      </c>
      <c r="H290" s="132">
        <v>447</v>
      </c>
      <c r="I290" s="132">
        <v>447</v>
      </c>
      <c r="J290" s="136" t="s">
        <v>2349</v>
      </c>
    </row>
    <row r="291" spans="1:10" ht="96" x14ac:dyDescent="0.2">
      <c r="A291" s="107" t="s">
        <v>2471</v>
      </c>
      <c r="B291" s="101" t="s">
        <v>2403</v>
      </c>
      <c r="C291" s="144" t="s">
        <v>2404</v>
      </c>
      <c r="D291" s="103" t="s">
        <v>2405</v>
      </c>
      <c r="E291" s="144" t="s">
        <v>2406</v>
      </c>
      <c r="F291" s="62" t="s">
        <v>2391</v>
      </c>
      <c r="G291" s="111" t="s">
        <v>2407</v>
      </c>
      <c r="H291" s="132">
        <v>463</v>
      </c>
      <c r="I291" s="132">
        <v>463</v>
      </c>
      <c r="J291" s="136" t="s">
        <v>2434</v>
      </c>
    </row>
    <row r="292" spans="1:10" ht="72" x14ac:dyDescent="0.2">
      <c r="A292" s="107" t="s">
        <v>2472</v>
      </c>
      <c r="B292" s="101" t="s">
        <v>2408</v>
      </c>
      <c r="C292" s="144" t="s">
        <v>2409</v>
      </c>
      <c r="D292" s="103" t="s">
        <v>2410</v>
      </c>
      <c r="E292" s="144" t="s">
        <v>2411</v>
      </c>
      <c r="F292" s="62" t="s">
        <v>2407</v>
      </c>
      <c r="G292" s="111" t="s">
        <v>2397</v>
      </c>
      <c r="H292" s="132">
        <v>1633</v>
      </c>
      <c r="I292" s="132">
        <v>1633</v>
      </c>
      <c r="J292" s="136" t="s">
        <v>2430</v>
      </c>
    </row>
    <row r="293" spans="1:10" ht="60" x14ac:dyDescent="0.2">
      <c r="A293" s="107" t="s">
        <v>2473</v>
      </c>
      <c r="B293" s="101" t="s">
        <v>2412</v>
      </c>
      <c r="C293" s="130" t="s">
        <v>2413</v>
      </c>
      <c r="D293" s="131" t="s">
        <v>2414</v>
      </c>
      <c r="E293" s="144" t="s">
        <v>2415</v>
      </c>
      <c r="F293" s="62" t="s">
        <v>2291</v>
      </c>
      <c r="G293" s="111" t="s">
        <v>2291</v>
      </c>
      <c r="H293" s="132">
        <v>234</v>
      </c>
      <c r="I293" s="132">
        <v>234</v>
      </c>
      <c r="J293" s="136" t="s">
        <v>2431</v>
      </c>
    </row>
    <row r="294" spans="1:10" ht="108" x14ac:dyDescent="0.2">
      <c r="A294" s="107" t="s">
        <v>2474</v>
      </c>
      <c r="B294" s="101" t="s">
        <v>2416</v>
      </c>
      <c r="C294" s="144" t="s">
        <v>2417</v>
      </c>
      <c r="D294" s="103" t="s">
        <v>2418</v>
      </c>
      <c r="E294" s="144" t="s">
        <v>2419</v>
      </c>
      <c r="F294" s="120" t="s">
        <v>2377</v>
      </c>
      <c r="G294" s="120" t="s">
        <v>2334</v>
      </c>
      <c r="H294" s="132">
        <v>1500</v>
      </c>
      <c r="I294" s="133">
        <v>1500</v>
      </c>
      <c r="J294" s="136" t="s">
        <v>2432</v>
      </c>
    </row>
    <row r="295" spans="1:10" ht="72" x14ac:dyDescent="0.2">
      <c r="A295" s="107" t="s">
        <v>2475</v>
      </c>
      <c r="B295" s="101" t="s">
        <v>2420</v>
      </c>
      <c r="C295" s="144" t="s">
        <v>2421</v>
      </c>
      <c r="D295" s="103" t="s">
        <v>2422</v>
      </c>
      <c r="E295" s="144" t="s">
        <v>2423</v>
      </c>
      <c r="F295" s="120" t="s">
        <v>2424</v>
      </c>
      <c r="G295" s="120" t="s">
        <v>2397</v>
      </c>
      <c r="H295" s="132">
        <v>565</v>
      </c>
      <c r="I295" s="132">
        <v>565</v>
      </c>
      <c r="J295" s="136" t="s">
        <v>2203</v>
      </c>
    </row>
    <row r="296" spans="1:10" ht="84" x14ac:dyDescent="0.2">
      <c r="A296" s="107" t="s">
        <v>2550</v>
      </c>
      <c r="B296" s="101" t="s">
        <v>2476</v>
      </c>
      <c r="C296" s="144" t="s">
        <v>2477</v>
      </c>
      <c r="D296" s="103" t="s">
        <v>2478</v>
      </c>
      <c r="E296" s="144" t="s">
        <v>2479</v>
      </c>
      <c r="F296" s="120" t="s">
        <v>2424</v>
      </c>
      <c r="G296" s="120" t="s">
        <v>2480</v>
      </c>
      <c r="H296" s="110">
        <v>70000</v>
      </c>
      <c r="I296" s="110">
        <v>30000</v>
      </c>
      <c r="J296" s="144" t="s">
        <v>2546</v>
      </c>
    </row>
    <row r="297" spans="1:10" ht="84" x14ac:dyDescent="0.2">
      <c r="A297" s="107" t="s">
        <v>2551</v>
      </c>
      <c r="B297" s="101" t="s">
        <v>2420</v>
      </c>
      <c r="C297" s="144" t="s">
        <v>2481</v>
      </c>
      <c r="D297" s="103" t="s">
        <v>2422</v>
      </c>
      <c r="E297" s="144" t="s">
        <v>2423</v>
      </c>
      <c r="F297" s="120" t="s">
        <v>2424</v>
      </c>
      <c r="G297" s="120" t="s">
        <v>2397</v>
      </c>
      <c r="H297" s="110">
        <v>384</v>
      </c>
      <c r="I297" s="110">
        <v>384</v>
      </c>
      <c r="J297" s="49" t="s">
        <v>2535</v>
      </c>
    </row>
    <row r="298" spans="1:10" ht="72" x14ac:dyDescent="0.2">
      <c r="A298" s="107" t="s">
        <v>2552</v>
      </c>
      <c r="B298" s="101" t="s">
        <v>2482</v>
      </c>
      <c r="C298" s="144" t="s">
        <v>2483</v>
      </c>
      <c r="D298" s="103" t="s">
        <v>2484</v>
      </c>
      <c r="E298" s="144" t="s">
        <v>2485</v>
      </c>
      <c r="F298" s="120" t="s">
        <v>2424</v>
      </c>
      <c r="G298" s="120" t="s">
        <v>2486</v>
      </c>
      <c r="H298" s="110">
        <v>2620</v>
      </c>
      <c r="I298" s="110">
        <v>2620</v>
      </c>
      <c r="J298" s="49" t="s">
        <v>2536</v>
      </c>
    </row>
    <row r="299" spans="1:10" ht="108" x14ac:dyDescent="0.2">
      <c r="A299" s="107" t="s">
        <v>2553</v>
      </c>
      <c r="B299" s="137" t="s">
        <v>2487</v>
      </c>
      <c r="C299" s="138" t="s">
        <v>2488</v>
      </c>
      <c r="D299" s="139" t="s">
        <v>2489</v>
      </c>
      <c r="E299" s="138" t="s">
        <v>2490</v>
      </c>
      <c r="F299" s="140" t="s">
        <v>2397</v>
      </c>
      <c r="G299" s="140" t="s">
        <v>2491</v>
      </c>
      <c r="H299" s="132">
        <v>600</v>
      </c>
      <c r="I299" s="132">
        <v>600</v>
      </c>
      <c r="J299" s="136" t="s">
        <v>2537</v>
      </c>
    </row>
    <row r="300" spans="1:10" ht="108" x14ac:dyDescent="0.2">
      <c r="A300" s="107" t="s">
        <v>2554</v>
      </c>
      <c r="B300" s="101" t="s">
        <v>2368</v>
      </c>
      <c r="C300" s="144" t="s">
        <v>2369</v>
      </c>
      <c r="D300" s="103" t="s">
        <v>2492</v>
      </c>
      <c r="E300" s="144" t="s">
        <v>2493</v>
      </c>
      <c r="F300" s="120" t="s">
        <v>2382</v>
      </c>
      <c r="G300" s="120" t="s">
        <v>2494</v>
      </c>
      <c r="H300" s="110">
        <v>19980</v>
      </c>
      <c r="I300" s="110">
        <v>19980</v>
      </c>
      <c r="J300" s="49" t="s">
        <v>2538</v>
      </c>
    </row>
    <row r="301" spans="1:10" ht="108" x14ac:dyDescent="0.2">
      <c r="A301" s="107" t="s">
        <v>2555</v>
      </c>
      <c r="B301" s="102" t="s">
        <v>2495</v>
      </c>
      <c r="C301" s="130" t="s">
        <v>2496</v>
      </c>
      <c r="D301" s="103" t="s">
        <v>2497</v>
      </c>
      <c r="E301" s="144" t="s">
        <v>2498</v>
      </c>
      <c r="F301" s="62" t="s">
        <v>2382</v>
      </c>
      <c r="G301" s="62" t="s">
        <v>2372</v>
      </c>
      <c r="H301" s="110">
        <v>2007</v>
      </c>
      <c r="I301" s="110">
        <v>2007</v>
      </c>
      <c r="J301" s="49" t="s">
        <v>2539</v>
      </c>
    </row>
    <row r="302" spans="1:10" ht="48" x14ac:dyDescent="0.2">
      <c r="A302" s="107" t="s">
        <v>2556</v>
      </c>
      <c r="B302" s="137" t="s">
        <v>2499</v>
      </c>
      <c r="C302" s="138" t="s">
        <v>2500</v>
      </c>
      <c r="D302" s="139" t="s">
        <v>2501</v>
      </c>
      <c r="E302" s="138" t="s">
        <v>2502</v>
      </c>
      <c r="F302" s="141" t="s">
        <v>2382</v>
      </c>
      <c r="G302" s="141" t="s">
        <v>2372</v>
      </c>
      <c r="H302" s="132">
        <v>3000</v>
      </c>
      <c r="I302" s="132">
        <v>3000</v>
      </c>
      <c r="J302" s="136" t="s">
        <v>2429</v>
      </c>
    </row>
    <row r="303" spans="1:10" ht="96" x14ac:dyDescent="0.2">
      <c r="A303" s="107" t="s">
        <v>2557</v>
      </c>
      <c r="B303" s="102" t="s">
        <v>2503</v>
      </c>
      <c r="C303" s="144" t="s">
        <v>2388</v>
      </c>
      <c r="D303" s="104" t="s">
        <v>2504</v>
      </c>
      <c r="E303" s="129" t="s">
        <v>2505</v>
      </c>
      <c r="F303" s="62" t="s">
        <v>2382</v>
      </c>
      <c r="G303" s="62" t="s">
        <v>2506</v>
      </c>
      <c r="H303" s="110">
        <v>38922</v>
      </c>
      <c r="I303" s="110">
        <v>38922</v>
      </c>
      <c r="J303" s="52" t="s">
        <v>2547</v>
      </c>
    </row>
    <row r="304" spans="1:10" ht="96" x14ac:dyDescent="0.2">
      <c r="A304" s="107" t="s">
        <v>2558</v>
      </c>
      <c r="B304" s="102" t="s">
        <v>2507</v>
      </c>
      <c r="C304" s="144" t="s">
        <v>2294</v>
      </c>
      <c r="D304" s="103" t="s">
        <v>2508</v>
      </c>
      <c r="E304" s="144" t="s">
        <v>2509</v>
      </c>
      <c r="F304" s="62" t="s">
        <v>2510</v>
      </c>
      <c r="G304" s="62" t="s">
        <v>2494</v>
      </c>
      <c r="H304" s="110">
        <v>3067</v>
      </c>
      <c r="I304" s="110">
        <v>3067</v>
      </c>
      <c r="J304" s="52" t="s">
        <v>2540</v>
      </c>
    </row>
    <row r="305" spans="1:10" ht="96" x14ac:dyDescent="0.2">
      <c r="A305" s="107" t="s">
        <v>2559</v>
      </c>
      <c r="B305" s="142" t="s">
        <v>2511</v>
      </c>
      <c r="C305" s="138" t="s">
        <v>2512</v>
      </c>
      <c r="D305" s="139" t="s">
        <v>2513</v>
      </c>
      <c r="E305" s="138" t="s">
        <v>2514</v>
      </c>
      <c r="F305" s="141" t="s">
        <v>2510</v>
      </c>
      <c r="G305" s="141" t="s">
        <v>2372</v>
      </c>
      <c r="H305" s="132">
        <v>2000</v>
      </c>
      <c r="I305" s="132">
        <v>2000</v>
      </c>
      <c r="J305" s="136" t="s">
        <v>2548</v>
      </c>
    </row>
    <row r="306" spans="1:10" ht="108" x14ac:dyDescent="0.2">
      <c r="A306" s="107" t="s">
        <v>2560</v>
      </c>
      <c r="B306" s="137" t="s">
        <v>2368</v>
      </c>
      <c r="C306" s="138" t="s">
        <v>2369</v>
      </c>
      <c r="D306" s="139" t="s">
        <v>2515</v>
      </c>
      <c r="E306" s="138" t="s">
        <v>2516</v>
      </c>
      <c r="F306" s="141" t="s">
        <v>2510</v>
      </c>
      <c r="G306" s="141" t="s">
        <v>2494</v>
      </c>
      <c r="H306" s="132">
        <v>34890</v>
      </c>
      <c r="I306" s="132">
        <v>34890</v>
      </c>
      <c r="J306" s="136" t="s">
        <v>2549</v>
      </c>
    </row>
    <row r="307" spans="1:10" ht="144" x14ac:dyDescent="0.2">
      <c r="A307" s="107" t="s">
        <v>2561</v>
      </c>
      <c r="B307" s="102" t="s">
        <v>2517</v>
      </c>
      <c r="C307" s="135" t="s">
        <v>2518</v>
      </c>
      <c r="D307" s="103" t="s">
        <v>2519</v>
      </c>
      <c r="E307" s="144" t="s">
        <v>2520</v>
      </c>
      <c r="F307" s="62" t="s">
        <v>2510</v>
      </c>
      <c r="G307" s="62" t="s">
        <v>2521</v>
      </c>
      <c r="H307" s="110">
        <v>42000</v>
      </c>
      <c r="I307" s="110">
        <v>17000</v>
      </c>
      <c r="J307" s="49" t="s">
        <v>2541</v>
      </c>
    </row>
    <row r="308" spans="1:10" ht="96" x14ac:dyDescent="0.2">
      <c r="A308" s="107" t="s">
        <v>2562</v>
      </c>
      <c r="B308" s="102" t="s">
        <v>2482</v>
      </c>
      <c r="C308" s="144" t="s">
        <v>2522</v>
      </c>
      <c r="D308" s="103" t="s">
        <v>2523</v>
      </c>
      <c r="E308" s="144" t="s">
        <v>2524</v>
      </c>
      <c r="F308" s="62" t="s">
        <v>2372</v>
      </c>
      <c r="G308" s="62" t="s">
        <v>2506</v>
      </c>
      <c r="H308" s="110">
        <v>3017</v>
      </c>
      <c r="I308" s="110">
        <v>3017</v>
      </c>
      <c r="J308" s="49" t="s">
        <v>2542</v>
      </c>
    </row>
    <row r="309" spans="1:10" ht="96" x14ac:dyDescent="0.2">
      <c r="A309" s="107" t="s">
        <v>2563</v>
      </c>
      <c r="B309" s="102" t="s">
        <v>2525</v>
      </c>
      <c r="C309" s="144" t="s">
        <v>2294</v>
      </c>
      <c r="D309" s="103" t="s">
        <v>2526</v>
      </c>
      <c r="E309" s="144" t="s">
        <v>2527</v>
      </c>
      <c r="F309" s="62" t="s">
        <v>2491</v>
      </c>
      <c r="G309" s="62" t="s">
        <v>2480</v>
      </c>
      <c r="H309" s="110">
        <v>5000</v>
      </c>
      <c r="I309" s="110">
        <v>5000</v>
      </c>
      <c r="J309" s="49" t="s">
        <v>2543</v>
      </c>
    </row>
    <row r="310" spans="1:10" ht="96" x14ac:dyDescent="0.2">
      <c r="A310" s="107" t="s">
        <v>2564</v>
      </c>
      <c r="B310" s="102" t="s">
        <v>2528</v>
      </c>
      <c r="C310" s="144" t="s">
        <v>2512</v>
      </c>
      <c r="D310" s="103" t="s">
        <v>2529</v>
      </c>
      <c r="E310" s="144" t="s">
        <v>2530</v>
      </c>
      <c r="F310" s="62" t="s">
        <v>2491</v>
      </c>
      <c r="G310" s="62" t="s">
        <v>2521</v>
      </c>
      <c r="H310" s="110">
        <v>38480</v>
      </c>
      <c r="I310" s="110">
        <v>6622</v>
      </c>
      <c r="J310" s="49" t="s">
        <v>2544</v>
      </c>
    </row>
    <row r="311" spans="1:10" ht="72" x14ac:dyDescent="0.2">
      <c r="A311" s="107" t="s">
        <v>2565</v>
      </c>
      <c r="B311" s="102" t="s">
        <v>2531</v>
      </c>
      <c r="C311" s="144" t="s">
        <v>2283</v>
      </c>
      <c r="D311" s="103" t="s">
        <v>2532</v>
      </c>
      <c r="E311" s="144" t="s">
        <v>2533</v>
      </c>
      <c r="F311" s="62" t="s">
        <v>2392</v>
      </c>
      <c r="G311" s="62" t="s">
        <v>2534</v>
      </c>
      <c r="H311" s="110">
        <v>27066</v>
      </c>
      <c r="I311" s="110">
        <v>20356</v>
      </c>
      <c r="J311" s="49" t="s">
        <v>2545</v>
      </c>
    </row>
    <row r="312" spans="1:10" ht="60" x14ac:dyDescent="0.2">
      <c r="A312" s="107" t="s">
        <v>2634</v>
      </c>
      <c r="B312" s="142" t="s">
        <v>2567</v>
      </c>
      <c r="C312" s="149" t="s">
        <v>2568</v>
      </c>
      <c r="D312" s="139" t="s">
        <v>2569</v>
      </c>
      <c r="E312" s="138" t="s">
        <v>2570</v>
      </c>
      <c r="F312" s="141" t="s">
        <v>2571</v>
      </c>
      <c r="G312" s="141" t="s">
        <v>2572</v>
      </c>
      <c r="H312" s="132">
        <v>41409</v>
      </c>
      <c r="I312" s="132">
        <v>21435</v>
      </c>
      <c r="J312" s="136" t="s">
        <v>2621</v>
      </c>
    </row>
    <row r="313" spans="1:10" ht="84" x14ac:dyDescent="0.2">
      <c r="A313" s="107" t="s">
        <v>2635</v>
      </c>
      <c r="B313" s="142" t="s">
        <v>2573</v>
      </c>
      <c r="C313" s="149" t="s">
        <v>2574</v>
      </c>
      <c r="D313" s="139" t="s">
        <v>2575</v>
      </c>
      <c r="E313" s="138" t="s">
        <v>2576</v>
      </c>
      <c r="F313" s="141" t="s">
        <v>2480</v>
      </c>
      <c r="G313" s="141" t="s">
        <v>2577</v>
      </c>
      <c r="H313" s="132">
        <v>31712</v>
      </c>
      <c r="I313" s="132">
        <v>15830</v>
      </c>
      <c r="J313" s="136" t="s">
        <v>2619</v>
      </c>
    </row>
    <row r="314" spans="1:10" ht="96" x14ac:dyDescent="0.2">
      <c r="A314" s="107" t="s">
        <v>2636</v>
      </c>
      <c r="B314" s="142" t="s">
        <v>2578</v>
      </c>
      <c r="C314" s="138" t="s">
        <v>2579</v>
      </c>
      <c r="D314" s="139" t="s">
        <v>2580</v>
      </c>
      <c r="E314" s="138" t="s">
        <v>2581</v>
      </c>
      <c r="F314" s="141" t="s">
        <v>2494</v>
      </c>
      <c r="G314" s="141" t="s">
        <v>2506</v>
      </c>
      <c r="H314" s="132">
        <v>11452</v>
      </c>
      <c r="I314" s="132">
        <v>7315</v>
      </c>
      <c r="J314" s="136" t="s">
        <v>2620</v>
      </c>
    </row>
    <row r="315" spans="1:10" ht="120" x14ac:dyDescent="0.2">
      <c r="A315" s="107" t="s">
        <v>2637</v>
      </c>
      <c r="B315" s="142" t="s">
        <v>2582</v>
      </c>
      <c r="C315" s="138" t="s">
        <v>2583</v>
      </c>
      <c r="D315" s="139" t="s">
        <v>2584</v>
      </c>
      <c r="E315" s="138" t="s">
        <v>2585</v>
      </c>
      <c r="F315" s="141" t="s">
        <v>2586</v>
      </c>
      <c r="G315" s="141" t="s">
        <v>2577</v>
      </c>
      <c r="H315" s="132">
        <v>65249</v>
      </c>
      <c r="I315" s="132">
        <v>38088</v>
      </c>
      <c r="J315" s="136" t="s">
        <v>2622</v>
      </c>
    </row>
    <row r="316" spans="1:10" ht="84" x14ac:dyDescent="0.2">
      <c r="A316" s="107" t="s">
        <v>2638</v>
      </c>
      <c r="B316" s="150" t="s">
        <v>2587</v>
      </c>
      <c r="C316" s="138" t="s">
        <v>2588</v>
      </c>
      <c r="D316" s="139" t="s">
        <v>2624</v>
      </c>
      <c r="E316" s="138" t="s">
        <v>2589</v>
      </c>
      <c r="F316" s="141" t="s">
        <v>2633</v>
      </c>
      <c r="G316" s="141" t="s">
        <v>2577</v>
      </c>
      <c r="H316" s="132">
        <v>17500</v>
      </c>
      <c r="I316" s="132">
        <v>8750</v>
      </c>
      <c r="J316" s="138" t="s">
        <v>2631</v>
      </c>
    </row>
    <row r="317" spans="1:10" ht="60" x14ac:dyDescent="0.2">
      <c r="A317" s="107" t="s">
        <v>2639</v>
      </c>
      <c r="B317" s="142" t="s">
        <v>2591</v>
      </c>
      <c r="C317" s="138" t="s">
        <v>2592</v>
      </c>
      <c r="D317" s="139" t="s">
        <v>2593</v>
      </c>
      <c r="E317" s="138" t="s">
        <v>2594</v>
      </c>
      <c r="F317" s="141" t="s">
        <v>2590</v>
      </c>
      <c r="G317" s="141" t="s">
        <v>2645</v>
      </c>
      <c r="H317" s="132">
        <v>16667</v>
      </c>
      <c r="I317" s="132">
        <v>16667</v>
      </c>
      <c r="J317" s="136" t="s">
        <v>2623</v>
      </c>
    </row>
    <row r="318" spans="1:10" ht="96" x14ac:dyDescent="0.2">
      <c r="A318" s="107" t="s">
        <v>2640</v>
      </c>
      <c r="B318" s="142" t="s">
        <v>2595</v>
      </c>
      <c r="C318" s="138" t="s">
        <v>2596</v>
      </c>
      <c r="D318" s="139" t="s">
        <v>2597</v>
      </c>
      <c r="E318" s="138" t="s">
        <v>2598</v>
      </c>
      <c r="F318" s="141" t="s">
        <v>2599</v>
      </c>
      <c r="G318" s="141" t="s">
        <v>2618</v>
      </c>
      <c r="H318" s="132">
        <v>5328</v>
      </c>
      <c r="I318" s="132">
        <v>2565</v>
      </c>
      <c r="J318" s="136" t="s">
        <v>2067</v>
      </c>
    </row>
    <row r="319" spans="1:10" ht="96" x14ac:dyDescent="0.2">
      <c r="A319" s="107" t="s">
        <v>2641</v>
      </c>
      <c r="B319" s="150" t="s">
        <v>2600</v>
      </c>
      <c r="C319" s="138" t="s">
        <v>2601</v>
      </c>
      <c r="D319" s="139" t="s">
        <v>2602</v>
      </c>
      <c r="E319" s="138" t="s">
        <v>2603</v>
      </c>
      <c r="F319" s="141" t="s">
        <v>2599</v>
      </c>
      <c r="G319" s="141" t="s">
        <v>2618</v>
      </c>
      <c r="H319" s="132">
        <v>1446</v>
      </c>
      <c r="I319" s="132">
        <v>699</v>
      </c>
      <c r="J319" s="136" t="s">
        <v>2067</v>
      </c>
    </row>
    <row r="320" spans="1:10" ht="192" x14ac:dyDescent="0.2">
      <c r="A320" s="107" t="s">
        <v>2642</v>
      </c>
      <c r="B320" s="142" t="s">
        <v>2604</v>
      </c>
      <c r="C320" s="138" t="s">
        <v>2605</v>
      </c>
      <c r="D320" s="139" t="s">
        <v>2606</v>
      </c>
      <c r="E320" s="138" t="s">
        <v>2607</v>
      </c>
      <c r="F320" s="141" t="s">
        <v>2608</v>
      </c>
      <c r="G320" s="141" t="s">
        <v>2577</v>
      </c>
      <c r="H320" s="151">
        <v>14059</v>
      </c>
      <c r="I320" s="132">
        <v>9827</v>
      </c>
      <c r="J320" s="136" t="s">
        <v>2626</v>
      </c>
    </row>
    <row r="321" spans="1:10" ht="96" x14ac:dyDescent="0.2">
      <c r="A321" s="107" t="s">
        <v>2643</v>
      </c>
      <c r="B321" s="142" t="s">
        <v>2609</v>
      </c>
      <c r="C321" s="138" t="s">
        <v>2610</v>
      </c>
      <c r="D321" s="133" t="s">
        <v>2611</v>
      </c>
      <c r="E321" s="138" t="s">
        <v>2612</v>
      </c>
      <c r="F321" s="141" t="s">
        <v>2613</v>
      </c>
      <c r="G321" s="141" t="s">
        <v>2577</v>
      </c>
      <c r="H321" s="132">
        <v>6120</v>
      </c>
      <c r="I321" s="132">
        <v>2000</v>
      </c>
      <c r="J321" s="136" t="s">
        <v>2625</v>
      </c>
    </row>
    <row r="322" spans="1:10" ht="120" x14ac:dyDescent="0.2">
      <c r="A322" s="107" t="s">
        <v>2644</v>
      </c>
      <c r="B322" s="142" t="s">
        <v>2614</v>
      </c>
      <c r="C322" s="138" t="s">
        <v>2574</v>
      </c>
      <c r="D322" s="139" t="s">
        <v>2615</v>
      </c>
      <c r="E322" s="138" t="s">
        <v>2616</v>
      </c>
      <c r="F322" s="141" t="s">
        <v>2617</v>
      </c>
      <c r="G322" s="141" t="s">
        <v>2618</v>
      </c>
      <c r="H322" s="132">
        <v>19221</v>
      </c>
      <c r="I322" s="132">
        <v>11055</v>
      </c>
      <c r="J322" s="136" t="s">
        <v>2626</v>
      </c>
    </row>
  </sheetData>
  <mergeCells count="11">
    <mergeCell ref="A4:A5"/>
    <mergeCell ref="B4:B5"/>
    <mergeCell ref="C4:C5"/>
    <mergeCell ref="D4:D5"/>
    <mergeCell ref="E4:E5"/>
    <mergeCell ref="C96:C108"/>
    <mergeCell ref="D96:D108"/>
    <mergeCell ref="C109:C110"/>
    <mergeCell ref="H4:I4"/>
    <mergeCell ref="J4:J5"/>
    <mergeCell ref="F4:G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старый вар</vt:lpstr>
      <vt:lpstr>новый вар-т</vt:lpstr>
      <vt:lpstr>2008-2025</vt:lpstr>
      <vt:lpstr>'новый вар-т'!Заголовки_для_печати</vt:lpstr>
      <vt:lpstr>'2008-2025'!Область_печати</vt:lpstr>
      <vt:lpstr>'новый вар-т'!Область_печати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С. Пермякова</dc:creator>
  <cp:lastModifiedBy>Елена В. Петрова</cp:lastModifiedBy>
  <cp:lastPrinted>2023-04-13T03:04:46Z</cp:lastPrinted>
  <dcterms:created xsi:type="dcterms:W3CDTF">2016-06-27T08:32:23Z</dcterms:created>
  <dcterms:modified xsi:type="dcterms:W3CDTF">2026-03-18T01:40:07Z</dcterms:modified>
</cp:coreProperties>
</file>